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alentina\Documents\BNV valymas\BNV tarifai 2023-01-01\"/>
    </mc:Choice>
  </mc:AlternateContent>
  <xr:revisionPtr revIDLastSave="0" documentId="13_ncr:1_{8B4F0C36-88CE-4893-9DF5-6A58E8B97916}" xr6:coauthVersionLast="47" xr6:coauthVersionMax="47" xr10:uidLastSave="{00000000-0000-0000-0000-000000000000}"/>
  <bookViews>
    <workbookView xWindow="-120" yWindow="-120" windowWidth="29040" windowHeight="15840" activeTab="1" xr2:uid="{B012B358-7801-403F-853E-BE1F15978CC5}"/>
  </bookViews>
  <sheets>
    <sheet name="5 kart." sheetId="1" r:id="rId1"/>
    <sheet name="3 kart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8" i="2" l="1"/>
  <c r="U144" i="2"/>
  <c r="U131" i="2"/>
  <c r="U116" i="2"/>
  <c r="U117" i="2"/>
  <c r="U109" i="2"/>
  <c r="U90" i="2"/>
  <c r="U91" i="2"/>
  <c r="U92" i="2"/>
  <c r="U93" i="2"/>
  <c r="U94" i="2"/>
  <c r="U78" i="2"/>
  <c r="U47" i="2"/>
  <c r="U40" i="2"/>
  <c r="U32" i="2"/>
  <c r="U9" i="2"/>
  <c r="U10" i="2"/>
  <c r="U11" i="2"/>
  <c r="F151" i="2"/>
  <c r="D151" i="2"/>
  <c r="F150" i="2"/>
  <c r="D150" i="2"/>
  <c r="F149" i="2"/>
  <c r="D149" i="2"/>
  <c r="F147" i="2"/>
  <c r="D147" i="2"/>
  <c r="F146" i="2"/>
  <c r="D146" i="2"/>
  <c r="F145" i="2"/>
  <c r="D145" i="2"/>
  <c r="R143" i="2"/>
  <c r="E143" i="2"/>
  <c r="F143" i="2" s="1"/>
  <c r="C143" i="2"/>
  <c r="D143" i="2" s="1"/>
  <c r="F142" i="2"/>
  <c r="D142" i="2"/>
  <c r="E141" i="2"/>
  <c r="F141" i="2" s="1"/>
  <c r="C141" i="2"/>
  <c r="D141" i="2" s="1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E130" i="2"/>
  <c r="F130" i="2" s="1"/>
  <c r="C130" i="2"/>
  <c r="D130" i="2" s="1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R122" i="2"/>
  <c r="E122" i="2"/>
  <c r="F122" i="2" s="1"/>
  <c r="C122" i="2"/>
  <c r="D122" i="2" s="1"/>
  <c r="F121" i="2"/>
  <c r="D121" i="2"/>
  <c r="F120" i="2"/>
  <c r="D120" i="2"/>
  <c r="F119" i="2"/>
  <c r="D119" i="2"/>
  <c r="F118" i="2"/>
  <c r="D118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8" i="2"/>
  <c r="D108" i="2"/>
  <c r="F107" i="2"/>
  <c r="D107" i="2"/>
  <c r="F106" i="2"/>
  <c r="D106" i="2"/>
  <c r="E105" i="2"/>
  <c r="F105" i="2" s="1"/>
  <c r="C105" i="2"/>
  <c r="D105" i="2" s="1"/>
  <c r="E104" i="2"/>
  <c r="F104" i="2" s="1"/>
  <c r="C104" i="2"/>
  <c r="D104" i="2" s="1"/>
  <c r="F103" i="2"/>
  <c r="D103" i="2"/>
  <c r="F102" i="2"/>
  <c r="D102" i="2"/>
  <c r="F101" i="2"/>
  <c r="D101" i="2"/>
  <c r="F100" i="2"/>
  <c r="D100" i="2"/>
  <c r="F99" i="2"/>
  <c r="D99" i="2"/>
  <c r="R98" i="2"/>
  <c r="E98" i="2"/>
  <c r="F98" i="2" s="1"/>
  <c r="C98" i="2"/>
  <c r="D98" i="2" s="1"/>
  <c r="R97" i="2"/>
  <c r="E97" i="2"/>
  <c r="F97" i="2" s="1"/>
  <c r="C97" i="2"/>
  <c r="D97" i="2" s="1"/>
  <c r="F96" i="2"/>
  <c r="D96" i="2"/>
  <c r="F95" i="2"/>
  <c r="D95" i="2"/>
  <c r="E89" i="2"/>
  <c r="F89" i="2" s="1"/>
  <c r="C89" i="2"/>
  <c r="D89" i="2" s="1"/>
  <c r="F88" i="2"/>
  <c r="D88" i="2"/>
  <c r="F87" i="2"/>
  <c r="D87" i="2"/>
  <c r="E86" i="2"/>
  <c r="F86" i="2" s="1"/>
  <c r="C86" i="2"/>
  <c r="D86" i="2" s="1"/>
  <c r="F85" i="2"/>
  <c r="D85" i="2"/>
  <c r="F84" i="2"/>
  <c r="D84" i="2"/>
  <c r="F83" i="2"/>
  <c r="D83" i="2"/>
  <c r="F82" i="2"/>
  <c r="D82" i="2"/>
  <c r="E81" i="2"/>
  <c r="F81" i="2" s="1"/>
  <c r="C81" i="2"/>
  <c r="D81" i="2" s="1"/>
  <c r="F80" i="2"/>
  <c r="D80" i="2"/>
  <c r="F79" i="2"/>
  <c r="D79" i="2"/>
  <c r="F77" i="2"/>
  <c r="D77" i="2"/>
  <c r="F76" i="2"/>
  <c r="D76" i="2"/>
  <c r="E75" i="2"/>
  <c r="F75" i="2" s="1"/>
  <c r="C75" i="2"/>
  <c r="D75" i="2" s="1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R58" i="2"/>
  <c r="E58" i="2"/>
  <c r="F58" i="2" s="1"/>
  <c r="C58" i="2"/>
  <c r="D58" i="2" s="1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6" i="2"/>
  <c r="D46" i="2"/>
  <c r="E45" i="2"/>
  <c r="F45" i="2" s="1"/>
  <c r="C45" i="2"/>
  <c r="D45" i="2" s="1"/>
  <c r="F44" i="2"/>
  <c r="D44" i="2"/>
  <c r="F43" i="2"/>
  <c r="D43" i="2"/>
  <c r="F42" i="2"/>
  <c r="D42" i="2"/>
  <c r="F41" i="2"/>
  <c r="D41" i="2"/>
  <c r="F39" i="2"/>
  <c r="D39" i="2"/>
  <c r="E38" i="2"/>
  <c r="F38" i="2" s="1"/>
  <c r="C38" i="2"/>
  <c r="D38" i="2" s="1"/>
  <c r="F37" i="2"/>
  <c r="D37" i="2"/>
  <c r="F36" i="2"/>
  <c r="D36" i="2"/>
  <c r="F35" i="2"/>
  <c r="D35" i="2"/>
  <c r="F34" i="2"/>
  <c r="D34" i="2"/>
  <c r="F33" i="2"/>
  <c r="D33" i="2"/>
  <c r="F31" i="2"/>
  <c r="D31" i="2"/>
  <c r="E30" i="2"/>
  <c r="F30" i="2" s="1"/>
  <c r="C30" i="2"/>
  <c r="D30" i="2" s="1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E15" i="2"/>
  <c r="F15" i="2" s="1"/>
  <c r="C15" i="2"/>
  <c r="D15" i="2" s="1"/>
  <c r="E14" i="2"/>
  <c r="F14" i="2" s="1"/>
  <c r="C14" i="2"/>
  <c r="D14" i="2" s="1"/>
  <c r="F13" i="2"/>
  <c r="D13" i="2"/>
  <c r="E12" i="2"/>
  <c r="C12" i="2"/>
  <c r="U33" i="1"/>
  <c r="U34" i="1"/>
  <c r="F61" i="1"/>
  <c r="D61" i="1"/>
  <c r="E60" i="1"/>
  <c r="F60" i="1" s="1"/>
  <c r="C60" i="1"/>
  <c r="D60" i="1" s="1"/>
  <c r="G60" i="1" s="1"/>
  <c r="F59" i="1"/>
  <c r="D59" i="1"/>
  <c r="F58" i="1"/>
  <c r="D58" i="1"/>
  <c r="F57" i="1"/>
  <c r="D57" i="1"/>
  <c r="F56" i="1"/>
  <c r="D56" i="1"/>
  <c r="F55" i="1"/>
  <c r="D55" i="1"/>
  <c r="F54" i="1"/>
  <c r="D54" i="1"/>
  <c r="G54" i="1" s="1"/>
  <c r="H54" i="1" s="1"/>
  <c r="F53" i="1"/>
  <c r="D53" i="1"/>
  <c r="E52" i="1"/>
  <c r="F52" i="1" s="1"/>
  <c r="C52" i="1"/>
  <c r="D52" i="1" s="1"/>
  <c r="F51" i="1"/>
  <c r="D51" i="1"/>
  <c r="F50" i="1"/>
  <c r="D50" i="1"/>
  <c r="F49" i="1"/>
  <c r="D49" i="1"/>
  <c r="F48" i="1"/>
  <c r="D48" i="1"/>
  <c r="F47" i="1"/>
  <c r="D47" i="1"/>
  <c r="E46" i="1"/>
  <c r="F46" i="1" s="1"/>
  <c r="C46" i="1"/>
  <c r="D46" i="1" s="1"/>
  <c r="E45" i="1"/>
  <c r="F45" i="1" s="1"/>
  <c r="C45" i="1"/>
  <c r="D45" i="1" s="1"/>
  <c r="F44" i="1"/>
  <c r="D44" i="1"/>
  <c r="F43" i="1"/>
  <c r="D43" i="1"/>
  <c r="F42" i="1"/>
  <c r="D42" i="1"/>
  <c r="G42" i="1" s="1"/>
  <c r="F41" i="1"/>
  <c r="D41" i="1"/>
  <c r="E40" i="1"/>
  <c r="F40" i="1" s="1"/>
  <c r="C40" i="1"/>
  <c r="D40" i="1" s="1"/>
  <c r="F39" i="1"/>
  <c r="D39" i="1"/>
  <c r="G39" i="1" s="1"/>
  <c r="F38" i="1"/>
  <c r="D38" i="1"/>
  <c r="F37" i="1"/>
  <c r="D37" i="1"/>
  <c r="F36" i="1"/>
  <c r="D36" i="1"/>
  <c r="E35" i="1"/>
  <c r="F35" i="1" s="1"/>
  <c r="C35" i="1"/>
  <c r="D35" i="1" s="1"/>
  <c r="F32" i="1"/>
  <c r="D32" i="1"/>
  <c r="G32" i="1" s="1"/>
  <c r="R31" i="1"/>
  <c r="R63" i="1" s="1"/>
  <c r="E31" i="1"/>
  <c r="F31" i="1" s="1"/>
  <c r="C31" i="1"/>
  <c r="D31" i="1" s="1"/>
  <c r="F30" i="1"/>
  <c r="D30" i="1"/>
  <c r="G30" i="1" s="1"/>
  <c r="E29" i="1"/>
  <c r="F29" i="1" s="1"/>
  <c r="C29" i="1"/>
  <c r="D29" i="1" s="1"/>
  <c r="F28" i="1"/>
  <c r="D28" i="1"/>
  <c r="F27" i="1"/>
  <c r="D27" i="1"/>
  <c r="G27" i="1" s="1"/>
  <c r="M27" i="1" s="1"/>
  <c r="F26" i="1"/>
  <c r="D26" i="1"/>
  <c r="E25" i="1"/>
  <c r="F25" i="1" s="1"/>
  <c r="C25" i="1"/>
  <c r="D25" i="1" s="1"/>
  <c r="F24" i="1"/>
  <c r="E24" i="1"/>
  <c r="C24" i="1"/>
  <c r="D24" i="1" s="1"/>
  <c r="F23" i="1"/>
  <c r="D23" i="1"/>
  <c r="F22" i="1"/>
  <c r="D22" i="1"/>
  <c r="F21" i="1"/>
  <c r="D21" i="1"/>
  <c r="E20" i="1"/>
  <c r="F20" i="1" s="1"/>
  <c r="C20" i="1"/>
  <c r="D20" i="1" s="1"/>
  <c r="E19" i="1"/>
  <c r="F19" i="1" s="1"/>
  <c r="C19" i="1"/>
  <c r="D19" i="1" s="1"/>
  <c r="F18" i="1"/>
  <c r="D18" i="1"/>
  <c r="F17" i="1"/>
  <c r="D17" i="1"/>
  <c r="F16" i="1"/>
  <c r="D16" i="1"/>
  <c r="F15" i="1"/>
  <c r="D15" i="1"/>
  <c r="F14" i="1"/>
  <c r="D14" i="1"/>
  <c r="E13" i="1"/>
  <c r="C13" i="1"/>
  <c r="G48" i="1" l="1"/>
  <c r="G14" i="1"/>
  <c r="G22" i="1"/>
  <c r="G26" i="1"/>
  <c r="G49" i="1"/>
  <c r="G36" i="1"/>
  <c r="G58" i="1"/>
  <c r="H58" i="1" s="1"/>
  <c r="G31" i="1"/>
  <c r="M31" i="1" s="1"/>
  <c r="G52" i="1"/>
  <c r="H52" i="1" s="1"/>
  <c r="G18" i="2"/>
  <c r="H18" i="2" s="1"/>
  <c r="J18" i="2" s="1"/>
  <c r="G22" i="2"/>
  <c r="M22" i="2" s="1"/>
  <c r="G26" i="2"/>
  <c r="H26" i="2" s="1"/>
  <c r="G24" i="2"/>
  <c r="H24" i="2" s="1"/>
  <c r="I24" i="2" s="1"/>
  <c r="G106" i="2"/>
  <c r="H106" i="2" s="1"/>
  <c r="G76" i="2"/>
  <c r="H76" i="2" s="1"/>
  <c r="G101" i="2"/>
  <c r="H101" i="2" s="1"/>
  <c r="G52" i="2"/>
  <c r="H52" i="2" s="1"/>
  <c r="G128" i="2"/>
  <c r="H128" i="2" s="1"/>
  <c r="J128" i="2" s="1"/>
  <c r="G133" i="2"/>
  <c r="H133" i="2" s="1"/>
  <c r="G80" i="2"/>
  <c r="H80" i="2" s="1"/>
  <c r="J80" i="2" s="1"/>
  <c r="G17" i="2"/>
  <c r="M17" i="2" s="1"/>
  <c r="G21" i="2"/>
  <c r="M21" i="2" s="1"/>
  <c r="G149" i="2"/>
  <c r="H149" i="2" s="1"/>
  <c r="N149" i="2" s="1"/>
  <c r="G27" i="2"/>
  <c r="H27" i="2" s="1"/>
  <c r="J27" i="2" s="1"/>
  <c r="G31" i="2"/>
  <c r="M31" i="2" s="1"/>
  <c r="G36" i="2"/>
  <c r="H36" i="2" s="1"/>
  <c r="N36" i="2" s="1"/>
  <c r="G41" i="2"/>
  <c r="H41" i="2" s="1"/>
  <c r="J41" i="2" s="1"/>
  <c r="G50" i="2"/>
  <c r="M50" i="2" s="1"/>
  <c r="G125" i="2"/>
  <c r="M125" i="2" s="1"/>
  <c r="G134" i="2"/>
  <c r="H134" i="2" s="1"/>
  <c r="J134" i="2" s="1"/>
  <c r="G138" i="2"/>
  <c r="H138" i="2" s="1"/>
  <c r="G13" i="2"/>
  <c r="H13" i="2" s="1"/>
  <c r="G110" i="2"/>
  <c r="H110" i="2" s="1"/>
  <c r="J110" i="2" s="1"/>
  <c r="G65" i="2"/>
  <c r="M65" i="2" s="1"/>
  <c r="G69" i="2"/>
  <c r="M69" i="2" s="1"/>
  <c r="G77" i="2"/>
  <c r="M77" i="2" s="1"/>
  <c r="G82" i="2"/>
  <c r="H82" i="2" s="1"/>
  <c r="J82" i="2" s="1"/>
  <c r="G102" i="2"/>
  <c r="M102" i="2" s="1"/>
  <c r="G74" i="2"/>
  <c r="H74" i="2" s="1"/>
  <c r="G87" i="2"/>
  <c r="H87" i="2" s="1"/>
  <c r="J87" i="2" s="1"/>
  <c r="G96" i="2"/>
  <c r="M96" i="2" s="1"/>
  <c r="G35" i="2"/>
  <c r="H35" i="2" s="1"/>
  <c r="J35" i="2" s="1"/>
  <c r="G49" i="2"/>
  <c r="M49" i="2" s="1"/>
  <c r="G53" i="2"/>
  <c r="M53" i="2" s="1"/>
  <c r="G64" i="2"/>
  <c r="H64" i="2" s="1"/>
  <c r="J64" i="2" s="1"/>
  <c r="G68" i="2"/>
  <c r="M68" i="2" s="1"/>
  <c r="G72" i="2"/>
  <c r="G84" i="2"/>
  <c r="H84" i="2" s="1"/>
  <c r="G108" i="2"/>
  <c r="H108" i="2" s="1"/>
  <c r="N108" i="2" s="1"/>
  <c r="G113" i="2"/>
  <c r="M113" i="2" s="1"/>
  <c r="G119" i="2"/>
  <c r="M119" i="2" s="1"/>
  <c r="G23" i="2"/>
  <c r="H23" i="2" s="1"/>
  <c r="I23" i="2" s="1"/>
  <c r="G120" i="2"/>
  <c r="H120" i="2" s="1"/>
  <c r="I120" i="2" s="1"/>
  <c r="G33" i="2"/>
  <c r="M33" i="2" s="1"/>
  <c r="G37" i="2"/>
  <c r="M37" i="2" s="1"/>
  <c r="G46" i="2"/>
  <c r="M46" i="2" s="1"/>
  <c r="G66" i="2"/>
  <c r="M66" i="2" s="1"/>
  <c r="G34" i="2"/>
  <c r="H34" i="2" s="1"/>
  <c r="I34" i="2" s="1"/>
  <c r="G59" i="2"/>
  <c r="M59" i="2" s="1"/>
  <c r="G79" i="2"/>
  <c r="H79" i="2" s="1"/>
  <c r="G25" i="2"/>
  <c r="H25" i="2" s="1"/>
  <c r="G29" i="2"/>
  <c r="M29" i="2" s="1"/>
  <c r="G83" i="2"/>
  <c r="H83" i="2" s="1"/>
  <c r="G98" i="2"/>
  <c r="H98" i="2" s="1"/>
  <c r="G123" i="2"/>
  <c r="H123" i="2" s="1"/>
  <c r="G127" i="2"/>
  <c r="H127" i="2" s="1"/>
  <c r="G132" i="2"/>
  <c r="H132" i="2" s="1"/>
  <c r="G136" i="2"/>
  <c r="M136" i="2" s="1"/>
  <c r="G140" i="2"/>
  <c r="M140" i="2" s="1"/>
  <c r="G135" i="2"/>
  <c r="H135" i="2" s="1"/>
  <c r="G60" i="2"/>
  <c r="M60" i="2" s="1"/>
  <c r="G141" i="2"/>
  <c r="H141" i="2" s="1"/>
  <c r="G19" i="2"/>
  <c r="H19" i="2" s="1"/>
  <c r="I19" i="2" s="1"/>
  <c r="G43" i="2"/>
  <c r="M43" i="2" s="1"/>
  <c r="G55" i="2"/>
  <c r="H55" i="2" s="1"/>
  <c r="I55" i="2" s="1"/>
  <c r="G61" i="2"/>
  <c r="H61" i="2" s="1"/>
  <c r="G99" i="2"/>
  <c r="M99" i="2" s="1"/>
  <c r="G103" i="2"/>
  <c r="H103" i="2" s="1"/>
  <c r="J103" i="2" s="1"/>
  <c r="G115" i="2"/>
  <c r="H115" i="2" s="1"/>
  <c r="N115" i="2" s="1"/>
  <c r="G121" i="2"/>
  <c r="M121" i="2" s="1"/>
  <c r="G145" i="2"/>
  <c r="H145" i="2" s="1"/>
  <c r="G16" i="2"/>
  <c r="H16" i="2" s="1"/>
  <c r="N16" i="2" s="1"/>
  <c r="G39" i="2"/>
  <c r="M39" i="2" s="1"/>
  <c r="G44" i="2"/>
  <c r="H44" i="2" s="1"/>
  <c r="G48" i="2"/>
  <c r="H48" i="2" s="1"/>
  <c r="G56" i="2"/>
  <c r="R153" i="2"/>
  <c r="G73" i="2"/>
  <c r="M73" i="2" s="1"/>
  <c r="G100" i="2"/>
  <c r="M100" i="2" s="1"/>
  <c r="G107" i="2"/>
  <c r="H107" i="2" s="1"/>
  <c r="J107" i="2" s="1"/>
  <c r="G112" i="2"/>
  <c r="M112" i="2" s="1"/>
  <c r="G118" i="2"/>
  <c r="H118" i="2" s="1"/>
  <c r="G142" i="2"/>
  <c r="H142" i="2" s="1"/>
  <c r="N142" i="2" s="1"/>
  <c r="G146" i="2"/>
  <c r="H146" i="2" s="1"/>
  <c r="G151" i="2"/>
  <c r="M151" i="2" s="1"/>
  <c r="G86" i="2"/>
  <c r="H86" i="2" s="1"/>
  <c r="G45" i="2"/>
  <c r="H45" i="2" s="1"/>
  <c r="G57" i="2"/>
  <c r="M57" i="2" s="1"/>
  <c r="G130" i="2"/>
  <c r="H130" i="2" s="1"/>
  <c r="G105" i="2"/>
  <c r="M105" i="2" s="1"/>
  <c r="G124" i="2"/>
  <c r="H124" i="2" s="1"/>
  <c r="G150" i="2"/>
  <c r="M150" i="2" s="1"/>
  <c r="G104" i="2"/>
  <c r="H104" i="2" s="1"/>
  <c r="G38" i="2"/>
  <c r="H38" i="2" s="1"/>
  <c r="G51" i="2"/>
  <c r="M51" i="2" s="1"/>
  <c r="G63" i="2"/>
  <c r="H63" i="2" s="1"/>
  <c r="G71" i="2"/>
  <c r="M71" i="2" s="1"/>
  <c r="G81" i="2"/>
  <c r="H81" i="2" s="1"/>
  <c r="G15" i="2"/>
  <c r="H15" i="2" s="1"/>
  <c r="G139" i="2"/>
  <c r="H139" i="2" s="1"/>
  <c r="G143" i="2"/>
  <c r="H143" i="2" s="1"/>
  <c r="G147" i="2"/>
  <c r="H147" i="2" s="1"/>
  <c r="G62" i="2"/>
  <c r="G70" i="2"/>
  <c r="G85" i="2"/>
  <c r="G111" i="2"/>
  <c r="M111" i="2" s="1"/>
  <c r="G114" i="2"/>
  <c r="M114" i="2" s="1"/>
  <c r="G126" i="2"/>
  <c r="M126" i="2" s="1"/>
  <c r="G129" i="2"/>
  <c r="H129" i="2" s="1"/>
  <c r="G137" i="2"/>
  <c r="G14" i="2"/>
  <c r="G20" i="2"/>
  <c r="G30" i="2"/>
  <c r="G28" i="2"/>
  <c r="N24" i="2"/>
  <c r="G42" i="2"/>
  <c r="C153" i="2"/>
  <c r="D12" i="2"/>
  <c r="G54" i="2"/>
  <c r="G95" i="2"/>
  <c r="G97" i="2"/>
  <c r="E153" i="2"/>
  <c r="M24" i="2"/>
  <c r="G75" i="2"/>
  <c r="F12" i="2"/>
  <c r="F153" i="2" s="1"/>
  <c r="G88" i="2"/>
  <c r="G67" i="2"/>
  <c r="G58" i="2"/>
  <c r="G89" i="2"/>
  <c r="G122" i="2"/>
  <c r="N120" i="2"/>
  <c r="G29" i="1"/>
  <c r="M29" i="1" s="1"/>
  <c r="G23" i="1"/>
  <c r="M23" i="1" s="1"/>
  <c r="G35" i="1"/>
  <c r="H35" i="1" s="1"/>
  <c r="G51" i="1"/>
  <c r="H51" i="1" s="1"/>
  <c r="E63" i="1"/>
  <c r="G18" i="1"/>
  <c r="M18" i="1" s="1"/>
  <c r="G21" i="1"/>
  <c r="G47" i="1"/>
  <c r="H47" i="1" s="1"/>
  <c r="G15" i="1"/>
  <c r="H15" i="1" s="1"/>
  <c r="G28" i="1"/>
  <c r="H28" i="1" s="1"/>
  <c r="G61" i="1"/>
  <c r="M61" i="1" s="1"/>
  <c r="M36" i="1"/>
  <c r="H36" i="1"/>
  <c r="H18" i="1"/>
  <c r="J18" i="1" s="1"/>
  <c r="M49" i="1"/>
  <c r="H49" i="1"/>
  <c r="M32" i="1"/>
  <c r="H32" i="1"/>
  <c r="N32" i="1" s="1"/>
  <c r="G17" i="1"/>
  <c r="M17" i="1" s="1"/>
  <c r="G37" i="1"/>
  <c r="H37" i="1" s="1"/>
  <c r="G44" i="1"/>
  <c r="H44" i="1" s="1"/>
  <c r="G55" i="1"/>
  <c r="G20" i="1"/>
  <c r="H20" i="1" s="1"/>
  <c r="H27" i="1"/>
  <c r="J27" i="1" s="1"/>
  <c r="H29" i="1"/>
  <c r="G38" i="1"/>
  <c r="H38" i="1" s="1"/>
  <c r="G41" i="1"/>
  <c r="H41" i="1" s="1"/>
  <c r="G56" i="1"/>
  <c r="H56" i="1" s="1"/>
  <c r="G59" i="1"/>
  <c r="M59" i="1" s="1"/>
  <c r="M47" i="1"/>
  <c r="G53" i="1"/>
  <c r="G57" i="1"/>
  <c r="M57" i="1" s="1"/>
  <c r="G24" i="1"/>
  <c r="M24" i="1" s="1"/>
  <c r="G50" i="1"/>
  <c r="H50" i="1" s="1"/>
  <c r="G16" i="1"/>
  <c r="M16" i="1" s="1"/>
  <c r="G43" i="1"/>
  <c r="H43" i="1" s="1"/>
  <c r="G46" i="1"/>
  <c r="H46" i="1" s="1"/>
  <c r="G40" i="1"/>
  <c r="H40" i="1" s="1"/>
  <c r="H22" i="1"/>
  <c r="M22" i="1"/>
  <c r="H14" i="1"/>
  <c r="M14" i="1"/>
  <c r="M15" i="1"/>
  <c r="M60" i="1"/>
  <c r="H60" i="1"/>
  <c r="H39" i="1"/>
  <c r="M39" i="1"/>
  <c r="G45" i="1"/>
  <c r="M48" i="1"/>
  <c r="H48" i="1"/>
  <c r="M58" i="1"/>
  <c r="J54" i="1"/>
  <c r="I54" i="1"/>
  <c r="N54" i="1"/>
  <c r="C63" i="1"/>
  <c r="G25" i="1"/>
  <c r="D13" i="1"/>
  <c r="N29" i="1"/>
  <c r="J29" i="1"/>
  <c r="I29" i="1"/>
  <c r="H59" i="1"/>
  <c r="M46" i="1"/>
  <c r="H53" i="1"/>
  <c r="M53" i="1"/>
  <c r="H55" i="1"/>
  <c r="M55" i="1"/>
  <c r="F13" i="1"/>
  <c r="F63" i="1" s="1"/>
  <c r="G19" i="1"/>
  <c r="M26" i="1"/>
  <c r="H26" i="1"/>
  <c r="N27" i="1"/>
  <c r="I27" i="1"/>
  <c r="H30" i="1"/>
  <c r="M30" i="1"/>
  <c r="N49" i="1"/>
  <c r="J49" i="1"/>
  <c r="I49" i="1"/>
  <c r="M52" i="1"/>
  <c r="N36" i="1"/>
  <c r="J36" i="1"/>
  <c r="I36" i="1"/>
  <c r="H42" i="1"/>
  <c r="M42" i="1"/>
  <c r="M54" i="1"/>
  <c r="K49" i="1" l="1"/>
  <c r="L49" i="1" s="1"/>
  <c r="O49" i="1" s="1"/>
  <c r="M50" i="1"/>
  <c r="K29" i="1"/>
  <c r="M28" i="1"/>
  <c r="M35" i="1"/>
  <c r="M37" i="1"/>
  <c r="H23" i="1"/>
  <c r="M38" i="1"/>
  <c r="M51" i="1"/>
  <c r="M41" i="1"/>
  <c r="H31" i="1"/>
  <c r="I32" i="1"/>
  <c r="H17" i="1"/>
  <c r="I17" i="1" s="1"/>
  <c r="H16" i="1"/>
  <c r="J16" i="1" s="1"/>
  <c r="M120" i="2"/>
  <c r="M18" i="2"/>
  <c r="M26" i="2"/>
  <c r="N18" i="2"/>
  <c r="M133" i="2"/>
  <c r="H22" i="2"/>
  <c r="J22" i="2" s="1"/>
  <c r="I18" i="2"/>
  <c r="K18" i="2" s="1"/>
  <c r="L18" i="2" s="1"/>
  <c r="M106" i="2"/>
  <c r="J24" i="2"/>
  <c r="H140" i="2"/>
  <c r="I140" i="2" s="1"/>
  <c r="H125" i="2"/>
  <c r="N125" i="2" s="1"/>
  <c r="I128" i="2"/>
  <c r="K128" i="2" s="1"/>
  <c r="L128" i="2" s="1"/>
  <c r="H65" i="2"/>
  <c r="J65" i="2" s="1"/>
  <c r="H17" i="2"/>
  <c r="I17" i="2" s="1"/>
  <c r="M36" i="2"/>
  <c r="J120" i="2"/>
  <c r="K120" i="2" s="1"/>
  <c r="L120" i="2" s="1"/>
  <c r="N82" i="2"/>
  <c r="M76" i="2"/>
  <c r="I80" i="2"/>
  <c r="K80" i="2" s="1"/>
  <c r="L80" i="2" s="1"/>
  <c r="H57" i="2"/>
  <c r="J57" i="2" s="1"/>
  <c r="I149" i="2"/>
  <c r="I110" i="2"/>
  <c r="K110" i="2" s="1"/>
  <c r="L110" i="2" s="1"/>
  <c r="J149" i="2"/>
  <c r="H50" i="2"/>
  <c r="I50" i="2" s="1"/>
  <c r="M146" i="2"/>
  <c r="H53" i="2"/>
  <c r="J53" i="2" s="1"/>
  <c r="N80" i="2"/>
  <c r="M52" i="2"/>
  <c r="M101" i="2"/>
  <c r="H114" i="2"/>
  <c r="N114" i="2" s="1"/>
  <c r="H51" i="2"/>
  <c r="J51" i="2" s="1"/>
  <c r="N134" i="2"/>
  <c r="M138" i="2"/>
  <c r="M134" i="2"/>
  <c r="H68" i="2"/>
  <c r="J68" i="2" s="1"/>
  <c r="N87" i="2"/>
  <c r="I134" i="2"/>
  <c r="K134" i="2" s="1"/>
  <c r="L134" i="2" s="1"/>
  <c r="M110" i="2"/>
  <c r="H33" i="2"/>
  <c r="N33" i="2" s="1"/>
  <c r="H102" i="2"/>
  <c r="J102" i="2" s="1"/>
  <c r="H21" i="2"/>
  <c r="N21" i="2" s="1"/>
  <c r="I87" i="2"/>
  <c r="K87" i="2" s="1"/>
  <c r="L87" i="2" s="1"/>
  <c r="M13" i="2"/>
  <c r="H29" i="2"/>
  <c r="N29" i="2" s="1"/>
  <c r="M35" i="2"/>
  <c r="I35" i="2"/>
  <c r="K35" i="2" s="1"/>
  <c r="L35" i="2" s="1"/>
  <c r="N27" i="2"/>
  <c r="I27" i="2"/>
  <c r="K27" i="2" s="1"/>
  <c r="L27" i="2" s="1"/>
  <c r="N107" i="2"/>
  <c r="M27" i="2"/>
  <c r="N110" i="2"/>
  <c r="N128" i="2"/>
  <c r="M55" i="2"/>
  <c r="M74" i="2"/>
  <c r="H66" i="2"/>
  <c r="N66" i="2" s="1"/>
  <c r="M128" i="2"/>
  <c r="M63" i="2"/>
  <c r="J34" i="2"/>
  <c r="K34" i="2" s="1"/>
  <c r="L34" i="2" s="1"/>
  <c r="J23" i="2"/>
  <c r="K23" i="2" s="1"/>
  <c r="L23" i="2" s="1"/>
  <c r="H113" i="2"/>
  <c r="I113" i="2" s="1"/>
  <c r="M107" i="2"/>
  <c r="M80" i="2"/>
  <c r="M147" i="2"/>
  <c r="M23" i="2"/>
  <c r="M83" i="2"/>
  <c r="H31" i="2"/>
  <c r="N31" i="2" s="1"/>
  <c r="N23" i="2"/>
  <c r="I16" i="2"/>
  <c r="M135" i="2"/>
  <c r="I107" i="2"/>
  <c r="K107" i="2" s="1"/>
  <c r="L107" i="2" s="1"/>
  <c r="M149" i="2"/>
  <c r="M129" i="2"/>
  <c r="K24" i="2"/>
  <c r="L24" i="2" s="1"/>
  <c r="O24" i="2" s="1"/>
  <c r="H43" i="2"/>
  <c r="N43" i="2" s="1"/>
  <c r="M87" i="2"/>
  <c r="M61" i="2"/>
  <c r="M64" i="2"/>
  <c r="M25" i="2"/>
  <c r="M127" i="2"/>
  <c r="M41" i="2"/>
  <c r="H69" i="2"/>
  <c r="J69" i="2" s="1"/>
  <c r="N41" i="2"/>
  <c r="H119" i="2"/>
  <c r="N119" i="2" s="1"/>
  <c r="H49" i="2"/>
  <c r="I49" i="2" s="1"/>
  <c r="I41" i="2"/>
  <c r="K41" i="2" s="1"/>
  <c r="L41" i="2" s="1"/>
  <c r="M19" i="2"/>
  <c r="H59" i="2"/>
  <c r="M115" i="2"/>
  <c r="I115" i="2"/>
  <c r="N19" i="2"/>
  <c r="J19" i="2"/>
  <c r="K19" i="2" s="1"/>
  <c r="L19" i="2" s="1"/>
  <c r="H96" i="2"/>
  <c r="N96" i="2" s="1"/>
  <c r="M143" i="2"/>
  <c r="H126" i="2"/>
  <c r="J126" i="2" s="1"/>
  <c r="H105" i="2"/>
  <c r="N105" i="2" s="1"/>
  <c r="J115" i="2"/>
  <c r="H151" i="2"/>
  <c r="N151" i="2" s="1"/>
  <c r="J25" i="2"/>
  <c r="N25" i="2"/>
  <c r="I82" i="2"/>
  <c r="K82" i="2" s="1"/>
  <c r="L82" i="2" s="1"/>
  <c r="N34" i="2"/>
  <c r="M45" i="2"/>
  <c r="H37" i="2"/>
  <c r="N37" i="2" s="1"/>
  <c r="H136" i="2"/>
  <c r="N136" i="2" s="1"/>
  <c r="H112" i="2"/>
  <c r="N112" i="2" s="1"/>
  <c r="I53" i="2"/>
  <c r="K53" i="2" s="1"/>
  <c r="L53" i="2" s="1"/>
  <c r="H100" i="2"/>
  <c r="N100" i="2" s="1"/>
  <c r="J55" i="2"/>
  <c r="K55" i="2" s="1"/>
  <c r="N64" i="2"/>
  <c r="M82" i="2"/>
  <c r="M79" i="2"/>
  <c r="N55" i="2"/>
  <c r="I64" i="2"/>
  <c r="K64" i="2" s="1"/>
  <c r="L64" i="2" s="1"/>
  <c r="M145" i="2"/>
  <c r="H77" i="2"/>
  <c r="N77" i="2" s="1"/>
  <c r="M34" i="2"/>
  <c r="N35" i="2"/>
  <c r="N22" i="2"/>
  <c r="I61" i="2"/>
  <c r="J61" i="2"/>
  <c r="M108" i="2"/>
  <c r="M48" i="2"/>
  <c r="M98" i="2"/>
  <c r="J108" i="2"/>
  <c r="M139" i="2"/>
  <c r="M81" i="2"/>
  <c r="J142" i="2"/>
  <c r="M44" i="2"/>
  <c r="H46" i="2"/>
  <c r="I46" i="2" s="1"/>
  <c r="H150" i="2"/>
  <c r="I150" i="2" s="1"/>
  <c r="H72" i="2"/>
  <c r="M72" i="2"/>
  <c r="I108" i="2"/>
  <c r="I142" i="2"/>
  <c r="H60" i="2"/>
  <c r="N60" i="2" s="1"/>
  <c r="M118" i="2"/>
  <c r="H99" i="2"/>
  <c r="N99" i="2" s="1"/>
  <c r="M124" i="2"/>
  <c r="M16" i="2"/>
  <c r="M84" i="2"/>
  <c r="H71" i="2"/>
  <c r="N71" i="2" s="1"/>
  <c r="M142" i="2"/>
  <c r="I25" i="2"/>
  <c r="J16" i="2"/>
  <c r="M38" i="2"/>
  <c r="N103" i="2"/>
  <c r="M141" i="2"/>
  <c r="N61" i="2"/>
  <c r="M123" i="2"/>
  <c r="M15" i="2"/>
  <c r="I103" i="2"/>
  <c r="K103" i="2" s="1"/>
  <c r="H121" i="2"/>
  <c r="N121" i="2" s="1"/>
  <c r="H73" i="2"/>
  <c r="J73" i="2" s="1"/>
  <c r="M56" i="2"/>
  <c r="H56" i="2"/>
  <c r="M103" i="2"/>
  <c r="M86" i="2"/>
  <c r="M132" i="2"/>
  <c r="H39" i="2"/>
  <c r="N39" i="2" s="1"/>
  <c r="M104" i="2"/>
  <c r="M130" i="2"/>
  <c r="H85" i="2"/>
  <c r="M85" i="2"/>
  <c r="H111" i="2"/>
  <c r="I111" i="2" s="1"/>
  <c r="M70" i="2"/>
  <c r="H70" i="2"/>
  <c r="M62" i="2"/>
  <c r="H62" i="2"/>
  <c r="M137" i="2"/>
  <c r="H137" i="2"/>
  <c r="J36" i="2"/>
  <c r="I36" i="2"/>
  <c r="N101" i="2"/>
  <c r="J101" i="2"/>
  <c r="I101" i="2"/>
  <c r="M88" i="2"/>
  <c r="H88" i="2"/>
  <c r="D153" i="2"/>
  <c r="G12" i="2"/>
  <c r="M28" i="2"/>
  <c r="H28" i="2"/>
  <c r="M20" i="2"/>
  <c r="H20" i="2"/>
  <c r="J86" i="2"/>
  <c r="I86" i="2"/>
  <c r="N86" i="2"/>
  <c r="N98" i="2"/>
  <c r="J98" i="2"/>
  <c r="I98" i="2"/>
  <c r="M54" i="2"/>
  <c r="H54" i="2"/>
  <c r="N76" i="2"/>
  <c r="J76" i="2"/>
  <c r="I76" i="2"/>
  <c r="M42" i="2"/>
  <c r="H42" i="2"/>
  <c r="J13" i="2"/>
  <c r="I13" i="2"/>
  <c r="N13" i="2"/>
  <c r="J26" i="2"/>
  <c r="I26" i="2"/>
  <c r="N26" i="2"/>
  <c r="N127" i="2"/>
  <c r="J127" i="2"/>
  <c r="I127" i="2"/>
  <c r="N138" i="2"/>
  <c r="J138" i="2"/>
  <c r="I138" i="2"/>
  <c r="J124" i="2"/>
  <c r="I124" i="2"/>
  <c r="N124" i="2"/>
  <c r="J135" i="2"/>
  <c r="I135" i="2"/>
  <c r="N135" i="2"/>
  <c r="I141" i="2"/>
  <c r="N141" i="2"/>
  <c r="J141" i="2"/>
  <c r="H89" i="2"/>
  <c r="M89" i="2"/>
  <c r="I145" i="2"/>
  <c r="N145" i="2"/>
  <c r="J145" i="2"/>
  <c r="N15" i="2"/>
  <c r="J15" i="2"/>
  <c r="I15" i="2"/>
  <c r="N45" i="2"/>
  <c r="J45" i="2"/>
  <c r="I45" i="2"/>
  <c r="J146" i="2"/>
  <c r="I146" i="2"/>
  <c r="N146" i="2"/>
  <c r="N79" i="2"/>
  <c r="J79" i="2"/>
  <c r="I79" i="2"/>
  <c r="M97" i="2"/>
  <c r="H97" i="2"/>
  <c r="N52" i="2"/>
  <c r="J52" i="2"/>
  <c r="I52" i="2"/>
  <c r="H14" i="2"/>
  <c r="M14" i="2"/>
  <c r="J118" i="2"/>
  <c r="I118" i="2"/>
  <c r="N118" i="2"/>
  <c r="H122" i="2"/>
  <c r="M122" i="2"/>
  <c r="I139" i="2"/>
  <c r="N139" i="2"/>
  <c r="J139" i="2"/>
  <c r="J84" i="2"/>
  <c r="I84" i="2"/>
  <c r="N84" i="2"/>
  <c r="N81" i="2"/>
  <c r="J81" i="2"/>
  <c r="I81" i="2"/>
  <c r="N63" i="2"/>
  <c r="J63" i="2"/>
  <c r="I63" i="2"/>
  <c r="J123" i="2"/>
  <c r="I123" i="2"/>
  <c r="N123" i="2"/>
  <c r="M95" i="2"/>
  <c r="H95" i="2"/>
  <c r="J38" i="2"/>
  <c r="I38" i="2"/>
  <c r="N38" i="2"/>
  <c r="J129" i="2"/>
  <c r="I129" i="2"/>
  <c r="N129" i="2"/>
  <c r="J133" i="2"/>
  <c r="I133" i="2"/>
  <c r="N133" i="2"/>
  <c r="I143" i="2"/>
  <c r="N143" i="2"/>
  <c r="J143" i="2"/>
  <c r="I130" i="2"/>
  <c r="N130" i="2"/>
  <c r="J130" i="2"/>
  <c r="J147" i="2"/>
  <c r="I147" i="2"/>
  <c r="N147" i="2"/>
  <c r="N74" i="2"/>
  <c r="J74" i="2"/>
  <c r="I74" i="2"/>
  <c r="M75" i="2"/>
  <c r="H75" i="2"/>
  <c r="I48" i="2"/>
  <c r="N48" i="2"/>
  <c r="J48" i="2"/>
  <c r="M58" i="2"/>
  <c r="H58" i="2"/>
  <c r="I106" i="2"/>
  <c r="N106" i="2"/>
  <c r="J106" i="2"/>
  <c r="I104" i="2"/>
  <c r="N104" i="2"/>
  <c r="J104" i="2"/>
  <c r="H67" i="2"/>
  <c r="M67" i="2"/>
  <c r="J83" i="2"/>
  <c r="I83" i="2"/>
  <c r="N83" i="2"/>
  <c r="N44" i="2"/>
  <c r="J44" i="2"/>
  <c r="I44" i="2"/>
  <c r="J132" i="2"/>
  <c r="I132" i="2"/>
  <c r="N132" i="2"/>
  <c r="M30" i="2"/>
  <c r="H30" i="2"/>
  <c r="M40" i="1"/>
  <c r="H21" i="1"/>
  <c r="M21" i="1"/>
  <c r="H61" i="1"/>
  <c r="N61" i="1" s="1"/>
  <c r="H57" i="1"/>
  <c r="N57" i="1" s="1"/>
  <c r="M20" i="1"/>
  <c r="M44" i="1"/>
  <c r="K54" i="1"/>
  <c r="L54" i="1" s="1"/>
  <c r="O54" i="1" s="1"/>
  <c r="N47" i="1"/>
  <c r="I47" i="1"/>
  <c r="K47" i="1" s="1"/>
  <c r="L47" i="1" s="1"/>
  <c r="O47" i="1" s="1"/>
  <c r="J47" i="1"/>
  <c r="K36" i="1"/>
  <c r="J32" i="1"/>
  <c r="K32" i="1" s="1"/>
  <c r="L32" i="1" s="1"/>
  <c r="O32" i="1" s="1"/>
  <c r="M43" i="1"/>
  <c r="I56" i="1"/>
  <c r="I43" i="1"/>
  <c r="H24" i="1"/>
  <c r="I24" i="1" s="1"/>
  <c r="N43" i="1"/>
  <c r="I18" i="1"/>
  <c r="K18" i="1" s="1"/>
  <c r="J56" i="1"/>
  <c r="J43" i="1"/>
  <c r="N56" i="1"/>
  <c r="K27" i="1"/>
  <c r="L27" i="1" s="1"/>
  <c r="M56" i="1"/>
  <c r="N18" i="1"/>
  <c r="L36" i="1"/>
  <c r="O36" i="1" s="1"/>
  <c r="J42" i="1"/>
  <c r="I42" i="1"/>
  <c r="K42" i="1" s="1"/>
  <c r="N42" i="1"/>
  <c r="J26" i="1"/>
  <c r="I26" i="1"/>
  <c r="N26" i="1"/>
  <c r="L29" i="1"/>
  <c r="O29" i="1" s="1"/>
  <c r="J41" i="1"/>
  <c r="I41" i="1"/>
  <c r="N41" i="1"/>
  <c r="I23" i="1"/>
  <c r="N23" i="1"/>
  <c r="J23" i="1"/>
  <c r="I15" i="1"/>
  <c r="N15" i="1"/>
  <c r="J15" i="1"/>
  <c r="I53" i="1"/>
  <c r="N53" i="1"/>
  <c r="J53" i="1"/>
  <c r="I38" i="1"/>
  <c r="N38" i="1"/>
  <c r="J38" i="1"/>
  <c r="N50" i="1"/>
  <c r="J50" i="1"/>
  <c r="I50" i="1"/>
  <c r="N35" i="1"/>
  <c r="J35" i="1"/>
  <c r="I35" i="1"/>
  <c r="I40" i="1"/>
  <c r="N40" i="1"/>
  <c r="J40" i="1"/>
  <c r="M19" i="1"/>
  <c r="H19" i="1"/>
  <c r="I51" i="1"/>
  <c r="N51" i="1"/>
  <c r="J51" i="1"/>
  <c r="N59" i="1"/>
  <c r="J59" i="1"/>
  <c r="I59" i="1"/>
  <c r="D63" i="1"/>
  <c r="G13" i="1"/>
  <c r="H25" i="1"/>
  <c r="M25" i="1"/>
  <c r="N58" i="1"/>
  <c r="J58" i="1"/>
  <c r="I58" i="1"/>
  <c r="H45" i="1"/>
  <c r="M45" i="1"/>
  <c r="J20" i="1"/>
  <c r="N20" i="1"/>
  <c r="I20" i="1"/>
  <c r="N52" i="1"/>
  <c r="J52" i="1"/>
  <c r="I52" i="1"/>
  <c r="N30" i="1"/>
  <c r="J30" i="1"/>
  <c r="I30" i="1"/>
  <c r="J57" i="1"/>
  <c r="I57" i="1"/>
  <c r="J17" i="1"/>
  <c r="N17" i="1"/>
  <c r="N60" i="1"/>
  <c r="J60" i="1"/>
  <c r="I60" i="1"/>
  <c r="J46" i="1"/>
  <c r="I46" i="1"/>
  <c r="N46" i="1"/>
  <c r="N48" i="1"/>
  <c r="J48" i="1"/>
  <c r="I48" i="1"/>
  <c r="J39" i="1"/>
  <c r="I39" i="1"/>
  <c r="N39" i="1"/>
  <c r="J14" i="1"/>
  <c r="I14" i="1"/>
  <c r="N14" i="1"/>
  <c r="J44" i="1"/>
  <c r="I44" i="1"/>
  <c r="N44" i="1"/>
  <c r="N28" i="1"/>
  <c r="J28" i="1"/>
  <c r="I28" i="1"/>
  <c r="J55" i="1"/>
  <c r="I55" i="1"/>
  <c r="N55" i="1"/>
  <c r="N37" i="1"/>
  <c r="J37" i="1"/>
  <c r="I37" i="1"/>
  <c r="K37" i="1" s="1"/>
  <c r="J22" i="1"/>
  <c r="I22" i="1"/>
  <c r="N22" i="1"/>
  <c r="K44" i="1" l="1"/>
  <c r="L44" i="1" s="1"/>
  <c r="O44" i="1" s="1"/>
  <c r="K30" i="1"/>
  <c r="N24" i="1"/>
  <c r="N16" i="1"/>
  <c r="K43" i="1"/>
  <c r="L43" i="1" s="1"/>
  <c r="O43" i="1" s="1"/>
  <c r="P43" i="1" s="1"/>
  <c r="Q43" i="1" s="1"/>
  <c r="S43" i="1" s="1"/>
  <c r="T43" i="1" s="1"/>
  <c r="U43" i="1" s="1"/>
  <c r="I16" i="1"/>
  <c r="K16" i="1" s="1"/>
  <c r="L16" i="1" s="1"/>
  <c r="O16" i="1" s="1"/>
  <c r="J31" i="1"/>
  <c r="N31" i="1"/>
  <c r="K41" i="1"/>
  <c r="K15" i="1"/>
  <c r="K38" i="1"/>
  <c r="L38" i="1" s="1"/>
  <c r="O38" i="1" s="1"/>
  <c r="I31" i="1"/>
  <c r="O120" i="2"/>
  <c r="P120" i="2" s="1"/>
  <c r="Q120" i="2" s="1"/>
  <c r="S120" i="2" s="1"/>
  <c r="T120" i="2" s="1"/>
  <c r="U120" i="2" s="1"/>
  <c r="I119" i="2"/>
  <c r="N65" i="2"/>
  <c r="I65" i="2"/>
  <c r="K65" i="2" s="1"/>
  <c r="L65" i="2" s="1"/>
  <c r="O18" i="2"/>
  <c r="J140" i="2"/>
  <c r="K140" i="2" s="1"/>
  <c r="L140" i="2" s="1"/>
  <c r="J125" i="2"/>
  <c r="I22" i="2"/>
  <c r="K22" i="2" s="1"/>
  <c r="L22" i="2" s="1"/>
  <c r="N140" i="2"/>
  <c r="N50" i="2"/>
  <c r="I125" i="2"/>
  <c r="N57" i="2"/>
  <c r="J17" i="2"/>
  <c r="K17" i="2" s="1"/>
  <c r="L17" i="2" s="1"/>
  <c r="J50" i="2"/>
  <c r="K50" i="2" s="1"/>
  <c r="L50" i="2" s="1"/>
  <c r="J33" i="2"/>
  <c r="J112" i="2"/>
  <c r="J66" i="2"/>
  <c r="J21" i="2"/>
  <c r="N126" i="2"/>
  <c r="N17" i="2"/>
  <c r="I151" i="2"/>
  <c r="K149" i="2"/>
  <c r="L149" i="2" s="1"/>
  <c r="N53" i="2"/>
  <c r="O53" i="2" s="1"/>
  <c r="P53" i="2" s="1"/>
  <c r="Q53" i="2" s="1"/>
  <c r="S53" i="2" s="1"/>
  <c r="T53" i="2" s="1"/>
  <c r="U53" i="2" s="1"/>
  <c r="I57" i="2"/>
  <c r="K57" i="2" s="1"/>
  <c r="L57" i="2" s="1"/>
  <c r="J114" i="2"/>
  <c r="I68" i="2"/>
  <c r="K68" i="2" s="1"/>
  <c r="L68" i="2" s="1"/>
  <c r="I51" i="2"/>
  <c r="K51" i="2" s="1"/>
  <c r="L51" i="2" s="1"/>
  <c r="J121" i="2"/>
  <c r="I114" i="2"/>
  <c r="N102" i="2"/>
  <c r="J119" i="2"/>
  <c r="J49" i="2"/>
  <c r="K49" i="2" s="1"/>
  <c r="L49" i="2" s="1"/>
  <c r="I29" i="2"/>
  <c r="J111" i="2"/>
  <c r="K111" i="2" s="1"/>
  <c r="L111" i="2" s="1"/>
  <c r="I96" i="2"/>
  <c r="J29" i="2"/>
  <c r="N68" i="2"/>
  <c r="N51" i="2"/>
  <c r="O80" i="2"/>
  <c r="P80" i="2" s="1"/>
  <c r="Q80" i="2" s="1"/>
  <c r="S80" i="2" s="1"/>
  <c r="T80" i="2" s="1"/>
  <c r="U80" i="2" s="1"/>
  <c r="I21" i="2"/>
  <c r="O27" i="2"/>
  <c r="P27" i="2" s="1"/>
  <c r="Q27" i="2" s="1"/>
  <c r="S27" i="2" s="1"/>
  <c r="T27" i="2" s="1"/>
  <c r="U27" i="2" s="1"/>
  <c r="J151" i="2"/>
  <c r="I33" i="2"/>
  <c r="O107" i="2"/>
  <c r="P107" i="2" s="1"/>
  <c r="Q107" i="2" s="1"/>
  <c r="S107" i="2" s="1"/>
  <c r="T107" i="2" s="1"/>
  <c r="U107" i="2" s="1"/>
  <c r="I102" i="2"/>
  <c r="K102" i="2" s="1"/>
  <c r="L102" i="2" s="1"/>
  <c r="I105" i="2"/>
  <c r="O134" i="2"/>
  <c r="P134" i="2" s="1"/>
  <c r="Q134" i="2" s="1"/>
  <c r="S134" i="2" s="1"/>
  <c r="T134" i="2" s="1"/>
  <c r="U134" i="2" s="1"/>
  <c r="J105" i="2"/>
  <c r="O23" i="2"/>
  <c r="I126" i="2"/>
  <c r="K126" i="2" s="1"/>
  <c r="L126" i="2" s="1"/>
  <c r="K115" i="2"/>
  <c r="L115" i="2" s="1"/>
  <c r="O115" i="2" s="1"/>
  <c r="P115" i="2" s="1"/>
  <c r="Q115" i="2" s="1"/>
  <c r="S115" i="2" s="1"/>
  <c r="T115" i="2" s="1"/>
  <c r="U115" i="2" s="1"/>
  <c r="I60" i="2"/>
  <c r="J60" i="2"/>
  <c r="I66" i="2"/>
  <c r="N69" i="2"/>
  <c r="I112" i="2"/>
  <c r="K112" i="2" s="1"/>
  <c r="L112" i="2" s="1"/>
  <c r="O112" i="2" s="1"/>
  <c r="I43" i="2"/>
  <c r="O110" i="2"/>
  <c r="P110" i="2" s="1"/>
  <c r="Q110" i="2" s="1"/>
  <c r="S110" i="2" s="1"/>
  <c r="T110" i="2" s="1"/>
  <c r="U110" i="2" s="1"/>
  <c r="K16" i="2"/>
  <c r="L16" i="2" s="1"/>
  <c r="I39" i="2"/>
  <c r="K25" i="2"/>
  <c r="L25" i="2" s="1"/>
  <c r="J113" i="2"/>
  <c r="K113" i="2" s="1"/>
  <c r="L113" i="2" s="1"/>
  <c r="J150" i="2"/>
  <c r="K150" i="2" s="1"/>
  <c r="L150" i="2" s="1"/>
  <c r="O87" i="2"/>
  <c r="P87" i="2" s="1"/>
  <c r="Q87" i="2" s="1"/>
  <c r="S87" i="2" s="1"/>
  <c r="T87" i="2" s="1"/>
  <c r="U87" i="2" s="1"/>
  <c r="I37" i="2"/>
  <c r="O128" i="2"/>
  <c r="P128" i="2" s="1"/>
  <c r="Q128" i="2" s="1"/>
  <c r="S128" i="2" s="1"/>
  <c r="T128" i="2" s="1"/>
  <c r="U128" i="2" s="1"/>
  <c r="I31" i="2"/>
  <c r="J37" i="2"/>
  <c r="J31" i="2"/>
  <c r="J43" i="2"/>
  <c r="N113" i="2"/>
  <c r="K44" i="2"/>
  <c r="L44" i="2" s="1"/>
  <c r="O44" i="2" s="1"/>
  <c r="I121" i="2"/>
  <c r="I69" i="2"/>
  <c r="K69" i="2" s="1"/>
  <c r="L69" i="2" s="1"/>
  <c r="J96" i="2"/>
  <c r="J46" i="2"/>
  <c r="K46" i="2" s="1"/>
  <c r="L46" i="2" s="1"/>
  <c r="N46" i="2"/>
  <c r="N111" i="2"/>
  <c r="K142" i="2"/>
  <c r="L142" i="2" s="1"/>
  <c r="I71" i="2"/>
  <c r="J39" i="2"/>
  <c r="J71" i="2"/>
  <c r="N49" i="2"/>
  <c r="I100" i="2"/>
  <c r="K15" i="2"/>
  <c r="L15" i="2" s="1"/>
  <c r="O15" i="2" s="1"/>
  <c r="I73" i="2"/>
  <c r="K73" i="2" s="1"/>
  <c r="L73" i="2" s="1"/>
  <c r="N59" i="2"/>
  <c r="J59" i="2"/>
  <c r="I59" i="2"/>
  <c r="J100" i="2"/>
  <c r="I136" i="2"/>
  <c r="J136" i="2"/>
  <c r="O34" i="2"/>
  <c r="P34" i="2" s="1"/>
  <c r="Q34" i="2" s="1"/>
  <c r="S34" i="2" s="1"/>
  <c r="T34" i="2" s="1"/>
  <c r="U34" i="2" s="1"/>
  <c r="I99" i="2"/>
  <c r="L55" i="2"/>
  <c r="O55" i="2" s="1"/>
  <c r="P55" i="2" s="1"/>
  <c r="Q55" i="2" s="1"/>
  <c r="S55" i="2" s="1"/>
  <c r="T55" i="2" s="1"/>
  <c r="U55" i="2" s="1"/>
  <c r="O35" i="2"/>
  <c r="P35" i="2" s="1"/>
  <c r="Q35" i="2" s="1"/>
  <c r="S35" i="2" s="1"/>
  <c r="T35" i="2" s="1"/>
  <c r="U35" i="2" s="1"/>
  <c r="O82" i="2"/>
  <c r="P82" i="2" s="1"/>
  <c r="Q82" i="2" s="1"/>
  <c r="S82" i="2" s="1"/>
  <c r="T82" i="2" s="1"/>
  <c r="U82" i="2" s="1"/>
  <c r="K145" i="2"/>
  <c r="L145" i="2" s="1"/>
  <c r="O145" i="2" s="1"/>
  <c r="K127" i="2"/>
  <c r="L127" i="2" s="1"/>
  <c r="O127" i="2" s="1"/>
  <c r="J77" i="2"/>
  <c r="K130" i="2"/>
  <c r="L130" i="2" s="1"/>
  <c r="O130" i="2" s="1"/>
  <c r="O64" i="2"/>
  <c r="P64" i="2" s="1"/>
  <c r="Q64" i="2" s="1"/>
  <c r="S64" i="2" s="1"/>
  <c r="T64" i="2" s="1"/>
  <c r="U64" i="2" s="1"/>
  <c r="I77" i="2"/>
  <c r="K108" i="2"/>
  <c r="L108" i="2" s="1"/>
  <c r="O108" i="2" s="1"/>
  <c r="P108" i="2" s="1"/>
  <c r="Q108" i="2" s="1"/>
  <c r="S108" i="2" s="1"/>
  <c r="T108" i="2" s="1"/>
  <c r="U108" i="2" s="1"/>
  <c r="K129" i="2"/>
  <c r="L129" i="2" s="1"/>
  <c r="O129" i="2" s="1"/>
  <c r="J99" i="2"/>
  <c r="J72" i="2"/>
  <c r="N72" i="2"/>
  <c r="I72" i="2"/>
  <c r="K133" i="2"/>
  <c r="L133" i="2" s="1"/>
  <c r="O133" i="2" s="1"/>
  <c r="K63" i="2"/>
  <c r="L63" i="2" s="1"/>
  <c r="O63" i="2" s="1"/>
  <c r="K146" i="2"/>
  <c r="L146" i="2" s="1"/>
  <c r="O146" i="2" s="1"/>
  <c r="N150" i="2"/>
  <c r="K101" i="2"/>
  <c r="L101" i="2" s="1"/>
  <c r="O101" i="2" s="1"/>
  <c r="K61" i="2"/>
  <c r="L61" i="2" s="1"/>
  <c r="O61" i="2" s="1"/>
  <c r="P61" i="2" s="1"/>
  <c r="Q61" i="2" s="1"/>
  <c r="S61" i="2" s="1"/>
  <c r="T61" i="2" s="1"/>
  <c r="U61" i="2" s="1"/>
  <c r="K74" i="2"/>
  <c r="L74" i="2" s="1"/>
  <c r="O74" i="2" s="1"/>
  <c r="K84" i="2"/>
  <c r="L84" i="2" s="1"/>
  <c r="O84" i="2" s="1"/>
  <c r="K118" i="2"/>
  <c r="L118" i="2" s="1"/>
  <c r="O118" i="2" s="1"/>
  <c r="K52" i="2"/>
  <c r="L52" i="2" s="1"/>
  <c r="O52" i="2" s="1"/>
  <c r="K98" i="2"/>
  <c r="L98" i="2" s="1"/>
  <c r="O98" i="2" s="1"/>
  <c r="N73" i="2"/>
  <c r="N56" i="2"/>
  <c r="I56" i="2"/>
  <c r="J56" i="2"/>
  <c r="K104" i="2"/>
  <c r="L104" i="2" s="1"/>
  <c r="O104" i="2" s="1"/>
  <c r="K76" i="2"/>
  <c r="L76" i="2" s="1"/>
  <c r="O76" i="2" s="1"/>
  <c r="K141" i="2"/>
  <c r="L141" i="2" s="1"/>
  <c r="O141" i="2" s="1"/>
  <c r="K38" i="2"/>
  <c r="L38" i="2" s="1"/>
  <c r="O38" i="2" s="1"/>
  <c r="K81" i="2"/>
  <c r="L81" i="2" s="1"/>
  <c r="O81" i="2" s="1"/>
  <c r="O41" i="2"/>
  <c r="P41" i="2" s="1"/>
  <c r="Q41" i="2" s="1"/>
  <c r="S41" i="2" s="1"/>
  <c r="T41" i="2" s="1"/>
  <c r="U41" i="2" s="1"/>
  <c r="K45" i="2"/>
  <c r="L45" i="2" s="1"/>
  <c r="O45" i="2" s="1"/>
  <c r="K132" i="2"/>
  <c r="L132" i="2" s="1"/>
  <c r="O132" i="2" s="1"/>
  <c r="K106" i="2"/>
  <c r="L106" i="2" s="1"/>
  <c r="O106" i="2" s="1"/>
  <c r="K143" i="2"/>
  <c r="L143" i="2" s="1"/>
  <c r="O143" i="2" s="1"/>
  <c r="K139" i="2"/>
  <c r="L139" i="2" s="1"/>
  <c r="O139" i="2" s="1"/>
  <c r="K79" i="2"/>
  <c r="L79" i="2" s="1"/>
  <c r="O79" i="2" s="1"/>
  <c r="K135" i="2"/>
  <c r="L135" i="2" s="1"/>
  <c r="O135" i="2" s="1"/>
  <c r="K26" i="2"/>
  <c r="L26" i="2" s="1"/>
  <c r="O26" i="2" s="1"/>
  <c r="I62" i="2"/>
  <c r="N62" i="2"/>
  <c r="J62" i="2"/>
  <c r="K83" i="2"/>
  <c r="L83" i="2" s="1"/>
  <c r="O83" i="2" s="1"/>
  <c r="K147" i="2"/>
  <c r="L147" i="2" s="1"/>
  <c r="O147" i="2" s="1"/>
  <c r="K36" i="2"/>
  <c r="L36" i="2" s="1"/>
  <c r="O36" i="2" s="1"/>
  <c r="P36" i="2" s="1"/>
  <c r="Q36" i="2" s="1"/>
  <c r="S36" i="2" s="1"/>
  <c r="T36" i="2" s="1"/>
  <c r="U36" i="2" s="1"/>
  <c r="N85" i="2"/>
  <c r="I85" i="2"/>
  <c r="J85" i="2"/>
  <c r="K124" i="2"/>
  <c r="L124" i="2" s="1"/>
  <c r="O124" i="2" s="1"/>
  <c r="O19" i="2"/>
  <c r="P19" i="2" s="1"/>
  <c r="N137" i="2"/>
  <c r="J137" i="2"/>
  <c r="I137" i="2"/>
  <c r="K48" i="2"/>
  <c r="L48" i="2" s="1"/>
  <c r="O48" i="2" s="1"/>
  <c r="K123" i="2"/>
  <c r="L123" i="2" s="1"/>
  <c r="O123" i="2" s="1"/>
  <c r="K138" i="2"/>
  <c r="L138" i="2" s="1"/>
  <c r="O138" i="2" s="1"/>
  <c r="K13" i="2"/>
  <c r="L13" i="2" s="1"/>
  <c r="O13" i="2" s="1"/>
  <c r="K86" i="2"/>
  <c r="L86" i="2" s="1"/>
  <c r="O86" i="2" s="1"/>
  <c r="I70" i="2"/>
  <c r="N70" i="2"/>
  <c r="J70" i="2"/>
  <c r="J67" i="2"/>
  <c r="I67" i="2"/>
  <c r="N67" i="2"/>
  <c r="J54" i="2"/>
  <c r="I54" i="2"/>
  <c r="N54" i="2"/>
  <c r="J88" i="2"/>
  <c r="I88" i="2"/>
  <c r="N88" i="2"/>
  <c r="J42" i="2"/>
  <c r="I42" i="2"/>
  <c r="N42" i="2"/>
  <c r="J28" i="2"/>
  <c r="I28" i="2"/>
  <c r="N28" i="2"/>
  <c r="P24" i="2"/>
  <c r="Q24" i="2" s="1"/>
  <c r="S24" i="2" s="1"/>
  <c r="T24" i="2" s="1"/>
  <c r="U24" i="2" s="1"/>
  <c r="I14" i="2"/>
  <c r="N14" i="2"/>
  <c r="J14" i="2"/>
  <c r="J58" i="2"/>
  <c r="I58" i="2"/>
  <c r="N58" i="2"/>
  <c r="N97" i="2"/>
  <c r="J97" i="2"/>
  <c r="I97" i="2"/>
  <c r="J20" i="2"/>
  <c r="I20" i="2"/>
  <c r="N20" i="2"/>
  <c r="G153" i="2"/>
  <c r="H12" i="2"/>
  <c r="M12" i="2"/>
  <c r="M153" i="2" s="1"/>
  <c r="J89" i="2"/>
  <c r="I89" i="2"/>
  <c r="N89" i="2"/>
  <c r="J75" i="2"/>
  <c r="I75" i="2"/>
  <c r="N75" i="2"/>
  <c r="J95" i="2"/>
  <c r="I95" i="2"/>
  <c r="N95" i="2"/>
  <c r="J30" i="2"/>
  <c r="I30" i="2"/>
  <c r="N30" i="2"/>
  <c r="L103" i="2"/>
  <c r="O103" i="2" s="1"/>
  <c r="J122" i="2"/>
  <c r="I122" i="2"/>
  <c r="N122" i="2"/>
  <c r="P18" i="2"/>
  <c r="Q18" i="2" s="1"/>
  <c r="S18" i="2" s="1"/>
  <c r="T18" i="2" s="1"/>
  <c r="U18" i="2" s="1"/>
  <c r="K55" i="1"/>
  <c r="L55" i="1" s="1"/>
  <c r="O55" i="1" s="1"/>
  <c r="K22" i="1"/>
  <c r="L22" i="1" s="1"/>
  <c r="O22" i="1" s="1"/>
  <c r="K28" i="1"/>
  <c r="L28" i="1" s="1"/>
  <c r="O28" i="1" s="1"/>
  <c r="K59" i="1"/>
  <c r="L59" i="1" s="1"/>
  <c r="O59" i="1" s="1"/>
  <c r="K56" i="1"/>
  <c r="L56" i="1" s="1"/>
  <c r="O56" i="1" s="1"/>
  <c r="P56" i="1" s="1"/>
  <c r="Q56" i="1" s="1"/>
  <c r="S56" i="1" s="1"/>
  <c r="T56" i="1" s="1"/>
  <c r="U56" i="1" s="1"/>
  <c r="K52" i="1"/>
  <c r="L52" i="1" s="1"/>
  <c r="O52" i="1" s="1"/>
  <c r="K58" i="1"/>
  <c r="L58" i="1" s="1"/>
  <c r="I61" i="1"/>
  <c r="K39" i="1"/>
  <c r="L39" i="1" s="1"/>
  <c r="O39" i="1" s="1"/>
  <c r="K60" i="1"/>
  <c r="L60" i="1" s="1"/>
  <c r="K51" i="1"/>
  <c r="L51" i="1" s="1"/>
  <c r="O51" i="1" s="1"/>
  <c r="J61" i="1"/>
  <c r="K20" i="1"/>
  <c r="N21" i="1"/>
  <c r="I21" i="1"/>
  <c r="J21" i="1"/>
  <c r="K14" i="1"/>
  <c r="L14" i="1" s="1"/>
  <c r="O14" i="1" s="1"/>
  <c r="K48" i="1"/>
  <c r="L48" i="1" s="1"/>
  <c r="O48" i="1" s="1"/>
  <c r="L18" i="1"/>
  <c r="O18" i="1" s="1"/>
  <c r="J24" i="1"/>
  <c r="K24" i="1" s="1"/>
  <c r="K57" i="1"/>
  <c r="L57" i="1" s="1"/>
  <c r="K26" i="1"/>
  <c r="L26" i="1" s="1"/>
  <c r="O26" i="1" s="1"/>
  <c r="O27" i="1"/>
  <c r="K40" i="1"/>
  <c r="K35" i="1"/>
  <c r="L35" i="1" s="1"/>
  <c r="O35" i="1" s="1"/>
  <c r="K17" i="1"/>
  <c r="K23" i="1"/>
  <c r="L23" i="1" s="1"/>
  <c r="O23" i="1" s="1"/>
  <c r="K46" i="1"/>
  <c r="K50" i="1"/>
  <c r="L50" i="1" s="1"/>
  <c r="O50" i="1" s="1"/>
  <c r="K53" i="1"/>
  <c r="L53" i="1" s="1"/>
  <c r="O53" i="1" s="1"/>
  <c r="P32" i="1"/>
  <c r="Q32" i="1" s="1"/>
  <c r="S32" i="1" s="1"/>
  <c r="T32" i="1" s="1"/>
  <c r="U32" i="1" s="1"/>
  <c r="P29" i="1"/>
  <c r="Q29" i="1" s="1"/>
  <c r="S29" i="1" s="1"/>
  <c r="T29" i="1" s="1"/>
  <c r="U29" i="1" s="1"/>
  <c r="P54" i="1"/>
  <c r="Q54" i="1" s="1"/>
  <c r="S54" i="1" s="1"/>
  <c r="T54" i="1" s="1"/>
  <c r="U54" i="1" s="1"/>
  <c r="L15" i="1"/>
  <c r="O15" i="1" s="1"/>
  <c r="Q49" i="1"/>
  <c r="S49" i="1" s="1"/>
  <c r="T49" i="1" s="1"/>
  <c r="U49" i="1" s="1"/>
  <c r="P49" i="1"/>
  <c r="L37" i="1"/>
  <c r="O37" i="1" s="1"/>
  <c r="L20" i="1"/>
  <c r="O20" i="1" s="1"/>
  <c r="L40" i="1"/>
  <c r="O40" i="1" s="1"/>
  <c r="L42" i="1"/>
  <c r="O42" i="1" s="1"/>
  <c r="P36" i="1"/>
  <c r="Q36" i="1" s="1"/>
  <c r="S36" i="1" s="1"/>
  <c r="T36" i="1" s="1"/>
  <c r="U36" i="1" s="1"/>
  <c r="J45" i="1"/>
  <c r="I45" i="1"/>
  <c r="N45" i="1"/>
  <c r="I19" i="1"/>
  <c r="N19" i="1"/>
  <c r="J19" i="1"/>
  <c r="P27" i="1"/>
  <c r="Q27" i="1" s="1"/>
  <c r="S27" i="1" s="1"/>
  <c r="T27" i="1" s="1"/>
  <c r="U27" i="1" s="1"/>
  <c r="G63" i="1"/>
  <c r="H13" i="1"/>
  <c r="M13" i="1"/>
  <c r="M63" i="1" s="1"/>
  <c r="L41" i="1"/>
  <c r="O41" i="1" s="1"/>
  <c r="P47" i="1"/>
  <c r="Q47" i="1" s="1"/>
  <c r="S47" i="1" s="1"/>
  <c r="T47" i="1" s="1"/>
  <c r="U47" i="1" s="1"/>
  <c r="I25" i="1"/>
  <c r="J25" i="1"/>
  <c r="N25" i="1"/>
  <c r="K19" i="1" l="1"/>
  <c r="L19" i="1" s="1"/>
  <c r="O19" i="1" s="1"/>
  <c r="L30" i="1"/>
  <c r="O30" i="1" s="1"/>
  <c r="P30" i="1" s="1"/>
  <c r="Q30" i="1" s="1"/>
  <c r="S30" i="1" s="1"/>
  <c r="T30" i="1" s="1"/>
  <c r="U30" i="1" s="1"/>
  <c r="K31" i="1"/>
  <c r="L31" i="1" s="1"/>
  <c r="O31" i="1" s="1"/>
  <c r="P31" i="1" s="1"/>
  <c r="Q31" i="1" s="1"/>
  <c r="S31" i="1" s="1"/>
  <c r="T31" i="1" s="1"/>
  <c r="U31" i="1" s="1"/>
  <c r="K25" i="1"/>
  <c r="O58" i="1"/>
  <c r="P58" i="1" s="1"/>
  <c r="Q58" i="1" s="1"/>
  <c r="S58" i="1" s="1"/>
  <c r="T58" i="1" s="1"/>
  <c r="U58" i="1" s="1"/>
  <c r="O65" i="2"/>
  <c r="P65" i="2" s="1"/>
  <c r="Q65" i="2" s="1"/>
  <c r="S65" i="2" s="1"/>
  <c r="T65" i="2" s="1"/>
  <c r="U65" i="2" s="1"/>
  <c r="K119" i="2"/>
  <c r="L119" i="2" s="1"/>
  <c r="O119" i="2" s="1"/>
  <c r="P119" i="2" s="1"/>
  <c r="Q119" i="2" s="1"/>
  <c r="S119" i="2" s="1"/>
  <c r="T119" i="2" s="1"/>
  <c r="U119" i="2" s="1"/>
  <c r="O140" i="2"/>
  <c r="P140" i="2" s="1"/>
  <c r="Q140" i="2" s="1"/>
  <c r="S140" i="2" s="1"/>
  <c r="T140" i="2" s="1"/>
  <c r="U140" i="2" s="1"/>
  <c r="K125" i="2"/>
  <c r="L125" i="2" s="1"/>
  <c r="O125" i="2" s="1"/>
  <c r="P125" i="2" s="1"/>
  <c r="Q125" i="2" s="1"/>
  <c r="S125" i="2" s="1"/>
  <c r="T125" i="2" s="1"/>
  <c r="U125" i="2" s="1"/>
  <c r="O22" i="2"/>
  <c r="P22" i="2" s="1"/>
  <c r="Q22" i="2" s="1"/>
  <c r="S22" i="2" s="1"/>
  <c r="T22" i="2" s="1"/>
  <c r="U22" i="2" s="1"/>
  <c r="O50" i="2"/>
  <c r="P50" i="2" s="1"/>
  <c r="Q50" i="2" s="1"/>
  <c r="S50" i="2" s="1"/>
  <c r="T50" i="2" s="1"/>
  <c r="U50" i="2" s="1"/>
  <c r="O57" i="2"/>
  <c r="K66" i="2"/>
  <c r="L66" i="2" s="1"/>
  <c r="O66" i="2" s="1"/>
  <c r="P66" i="2" s="1"/>
  <c r="Q66" i="2" s="1"/>
  <c r="S66" i="2" s="1"/>
  <c r="T66" i="2" s="1"/>
  <c r="U66" i="2" s="1"/>
  <c r="O17" i="2"/>
  <c r="P17" i="2" s="1"/>
  <c r="Q17" i="2" s="1"/>
  <c r="S17" i="2" s="1"/>
  <c r="T17" i="2" s="1"/>
  <c r="U17" i="2" s="1"/>
  <c r="O149" i="2"/>
  <c r="P149" i="2" s="1"/>
  <c r="Q149" i="2" s="1"/>
  <c r="S149" i="2" s="1"/>
  <c r="T149" i="2" s="1"/>
  <c r="U149" i="2" s="1"/>
  <c r="K33" i="2"/>
  <c r="L33" i="2" s="1"/>
  <c r="O33" i="2" s="1"/>
  <c r="P33" i="2" s="1"/>
  <c r="Q33" i="2" s="1"/>
  <c r="S33" i="2" s="1"/>
  <c r="T33" i="2" s="1"/>
  <c r="U33" i="2" s="1"/>
  <c r="K151" i="2"/>
  <c r="L151" i="2" s="1"/>
  <c r="O151" i="2" s="1"/>
  <c r="P151" i="2" s="1"/>
  <c r="Q151" i="2" s="1"/>
  <c r="S151" i="2" s="1"/>
  <c r="T151" i="2" s="1"/>
  <c r="U151" i="2" s="1"/>
  <c r="K121" i="2"/>
  <c r="L121" i="2" s="1"/>
  <c r="O121" i="2" s="1"/>
  <c r="P121" i="2" s="1"/>
  <c r="Q121" i="2" s="1"/>
  <c r="S121" i="2" s="1"/>
  <c r="T121" i="2" s="1"/>
  <c r="U121" i="2" s="1"/>
  <c r="O126" i="2"/>
  <c r="P126" i="2" s="1"/>
  <c r="Q126" i="2" s="1"/>
  <c r="S126" i="2" s="1"/>
  <c r="T126" i="2" s="1"/>
  <c r="U126" i="2" s="1"/>
  <c r="K21" i="2"/>
  <c r="L21" i="2" s="1"/>
  <c r="O21" i="2" s="1"/>
  <c r="O102" i="2"/>
  <c r="P102" i="2" s="1"/>
  <c r="Q102" i="2" s="1"/>
  <c r="S102" i="2" s="1"/>
  <c r="T102" i="2" s="1"/>
  <c r="U102" i="2" s="1"/>
  <c r="K29" i="2"/>
  <c r="L29" i="2" s="1"/>
  <c r="O29" i="2" s="1"/>
  <c r="P29" i="2" s="1"/>
  <c r="Q29" i="2" s="1"/>
  <c r="S29" i="2" s="1"/>
  <c r="T29" i="2" s="1"/>
  <c r="U29" i="2" s="1"/>
  <c r="K114" i="2"/>
  <c r="L114" i="2" s="1"/>
  <c r="O114" i="2" s="1"/>
  <c r="P114" i="2" s="1"/>
  <c r="Q114" i="2" s="1"/>
  <c r="S114" i="2" s="1"/>
  <c r="T114" i="2" s="1"/>
  <c r="U114" i="2" s="1"/>
  <c r="K96" i="2"/>
  <c r="L96" i="2" s="1"/>
  <c r="O96" i="2" s="1"/>
  <c r="P96" i="2" s="1"/>
  <c r="Q96" i="2" s="1"/>
  <c r="S96" i="2" s="1"/>
  <c r="T96" i="2" s="1"/>
  <c r="U96" i="2" s="1"/>
  <c r="K60" i="2"/>
  <c r="L60" i="2" s="1"/>
  <c r="O60" i="2" s="1"/>
  <c r="P60" i="2" s="1"/>
  <c r="Q60" i="2" s="1"/>
  <c r="S60" i="2" s="1"/>
  <c r="T60" i="2" s="1"/>
  <c r="U60" i="2" s="1"/>
  <c r="O68" i="2"/>
  <c r="P68" i="2" s="1"/>
  <c r="Q68" i="2" s="1"/>
  <c r="S68" i="2" s="1"/>
  <c r="T68" i="2" s="1"/>
  <c r="U68" i="2" s="1"/>
  <c r="O49" i="2"/>
  <c r="P49" i="2" s="1"/>
  <c r="Q49" i="2" s="1"/>
  <c r="S49" i="2" s="1"/>
  <c r="T49" i="2" s="1"/>
  <c r="U49" i="2" s="1"/>
  <c r="K105" i="2"/>
  <c r="L105" i="2" s="1"/>
  <c r="O105" i="2" s="1"/>
  <c r="P105" i="2" s="1"/>
  <c r="Q105" i="2" s="1"/>
  <c r="S105" i="2" s="1"/>
  <c r="T105" i="2" s="1"/>
  <c r="U105" i="2" s="1"/>
  <c r="O69" i="2"/>
  <c r="P69" i="2" s="1"/>
  <c r="Q69" i="2" s="1"/>
  <c r="S69" i="2" s="1"/>
  <c r="T69" i="2" s="1"/>
  <c r="U69" i="2" s="1"/>
  <c r="O73" i="2"/>
  <c r="P73" i="2" s="1"/>
  <c r="Q73" i="2" s="1"/>
  <c r="S73" i="2" s="1"/>
  <c r="T73" i="2" s="1"/>
  <c r="U73" i="2" s="1"/>
  <c r="O51" i="2"/>
  <c r="P51" i="2" s="1"/>
  <c r="Q51" i="2" s="1"/>
  <c r="S51" i="2" s="1"/>
  <c r="T51" i="2" s="1"/>
  <c r="U51" i="2" s="1"/>
  <c r="K43" i="2"/>
  <c r="L43" i="2" s="1"/>
  <c r="O43" i="2" s="1"/>
  <c r="P43" i="2" s="1"/>
  <c r="Q43" i="2" s="1"/>
  <c r="S43" i="2" s="1"/>
  <c r="T43" i="2" s="1"/>
  <c r="U43" i="2" s="1"/>
  <c r="O16" i="2"/>
  <c r="P16" i="2" s="1"/>
  <c r="Q16" i="2" s="1"/>
  <c r="S16" i="2" s="1"/>
  <c r="T16" i="2" s="1"/>
  <c r="U16" i="2" s="1"/>
  <c r="K37" i="2"/>
  <c r="L37" i="2" s="1"/>
  <c r="O37" i="2" s="1"/>
  <c r="P37" i="2" s="1"/>
  <c r="Q37" i="2" s="1"/>
  <c r="S37" i="2" s="1"/>
  <c r="T37" i="2" s="1"/>
  <c r="U37" i="2" s="1"/>
  <c r="P23" i="2"/>
  <c r="Q23" i="2" s="1"/>
  <c r="S23" i="2" s="1"/>
  <c r="T23" i="2" s="1"/>
  <c r="U23" i="2" s="1"/>
  <c r="K31" i="2"/>
  <c r="L31" i="2" s="1"/>
  <c r="O31" i="2" s="1"/>
  <c r="P31" i="2" s="1"/>
  <c r="Q31" i="2" s="1"/>
  <c r="S31" i="2" s="1"/>
  <c r="T31" i="2" s="1"/>
  <c r="U31" i="2" s="1"/>
  <c r="K39" i="2"/>
  <c r="L39" i="2" s="1"/>
  <c r="O39" i="2" s="1"/>
  <c r="P39" i="2" s="1"/>
  <c r="Q39" i="2" s="1"/>
  <c r="S39" i="2" s="1"/>
  <c r="T39" i="2" s="1"/>
  <c r="U39" i="2" s="1"/>
  <c r="K77" i="2"/>
  <c r="L77" i="2" s="1"/>
  <c r="O77" i="2" s="1"/>
  <c r="P77" i="2" s="1"/>
  <c r="Q77" i="2" s="1"/>
  <c r="S77" i="2" s="1"/>
  <c r="T77" i="2" s="1"/>
  <c r="U77" i="2" s="1"/>
  <c r="O111" i="2"/>
  <c r="P111" i="2" s="1"/>
  <c r="Q111" i="2" s="1"/>
  <c r="S111" i="2" s="1"/>
  <c r="T111" i="2" s="1"/>
  <c r="U111" i="2" s="1"/>
  <c r="K71" i="2"/>
  <c r="L71" i="2" s="1"/>
  <c r="O71" i="2" s="1"/>
  <c r="P71" i="2" s="1"/>
  <c r="Q71" i="2" s="1"/>
  <c r="S71" i="2" s="1"/>
  <c r="T71" i="2" s="1"/>
  <c r="U71" i="2" s="1"/>
  <c r="O113" i="2"/>
  <c r="P113" i="2" s="1"/>
  <c r="Q113" i="2" s="1"/>
  <c r="S113" i="2" s="1"/>
  <c r="T113" i="2" s="1"/>
  <c r="U113" i="2" s="1"/>
  <c r="O142" i="2"/>
  <c r="P142" i="2" s="1"/>
  <c r="Q142" i="2" s="1"/>
  <c r="S142" i="2" s="1"/>
  <c r="T142" i="2" s="1"/>
  <c r="U142" i="2" s="1"/>
  <c r="O25" i="2"/>
  <c r="P25" i="2" s="1"/>
  <c r="Q25" i="2" s="1"/>
  <c r="S25" i="2" s="1"/>
  <c r="T25" i="2" s="1"/>
  <c r="U25" i="2" s="1"/>
  <c r="O46" i="2"/>
  <c r="P46" i="2" s="1"/>
  <c r="Q46" i="2" s="1"/>
  <c r="S46" i="2" s="1"/>
  <c r="T46" i="2" s="1"/>
  <c r="U46" i="2" s="1"/>
  <c r="K100" i="2"/>
  <c r="L100" i="2" s="1"/>
  <c r="O100" i="2" s="1"/>
  <c r="P100" i="2" s="1"/>
  <c r="Q100" i="2" s="1"/>
  <c r="S100" i="2" s="1"/>
  <c r="T100" i="2" s="1"/>
  <c r="U100" i="2" s="1"/>
  <c r="K59" i="2"/>
  <c r="L59" i="2" s="1"/>
  <c r="O59" i="2" s="1"/>
  <c r="P59" i="2" s="1"/>
  <c r="Q59" i="2" s="1"/>
  <c r="S59" i="2" s="1"/>
  <c r="T59" i="2" s="1"/>
  <c r="U59" i="2" s="1"/>
  <c r="K136" i="2"/>
  <c r="L136" i="2" s="1"/>
  <c r="O136" i="2" s="1"/>
  <c r="P136" i="2" s="1"/>
  <c r="Q136" i="2" s="1"/>
  <c r="S136" i="2" s="1"/>
  <c r="T136" i="2" s="1"/>
  <c r="U136" i="2" s="1"/>
  <c r="K99" i="2"/>
  <c r="L99" i="2" s="1"/>
  <c r="O99" i="2" s="1"/>
  <c r="P99" i="2" s="1"/>
  <c r="Q99" i="2" s="1"/>
  <c r="S99" i="2" s="1"/>
  <c r="T99" i="2" s="1"/>
  <c r="U99" i="2" s="1"/>
  <c r="O150" i="2"/>
  <c r="P150" i="2" s="1"/>
  <c r="Q150" i="2" s="1"/>
  <c r="S150" i="2" s="1"/>
  <c r="T150" i="2" s="1"/>
  <c r="U150" i="2" s="1"/>
  <c r="K58" i="2"/>
  <c r="L58" i="2" s="1"/>
  <c r="O58" i="2" s="1"/>
  <c r="K67" i="2"/>
  <c r="L67" i="2" s="1"/>
  <c r="O67" i="2" s="1"/>
  <c r="K62" i="2"/>
  <c r="K72" i="2"/>
  <c r="L72" i="2" s="1"/>
  <c r="O72" i="2" s="1"/>
  <c r="P72" i="2" s="1"/>
  <c r="Q72" i="2" s="1"/>
  <c r="S72" i="2" s="1"/>
  <c r="T72" i="2" s="1"/>
  <c r="U72" i="2" s="1"/>
  <c r="K20" i="2"/>
  <c r="L20" i="2" s="1"/>
  <c r="O20" i="2" s="1"/>
  <c r="Q19" i="2"/>
  <c r="S19" i="2" s="1"/>
  <c r="T19" i="2" s="1"/>
  <c r="U19" i="2" s="1"/>
  <c r="K56" i="2"/>
  <c r="L56" i="2" s="1"/>
  <c r="K97" i="2"/>
  <c r="K89" i="2"/>
  <c r="L89" i="2" s="1"/>
  <c r="O89" i="2" s="1"/>
  <c r="K70" i="2"/>
  <c r="L70" i="2" s="1"/>
  <c r="O70" i="2" s="1"/>
  <c r="K75" i="2"/>
  <c r="L75" i="2" s="1"/>
  <c r="O75" i="2" s="1"/>
  <c r="K54" i="2"/>
  <c r="L54" i="2" s="1"/>
  <c r="O54" i="2" s="1"/>
  <c r="K137" i="2"/>
  <c r="L137" i="2" s="1"/>
  <c r="O137" i="2" s="1"/>
  <c r="P137" i="2" s="1"/>
  <c r="Q137" i="2" s="1"/>
  <c r="S137" i="2" s="1"/>
  <c r="T137" i="2" s="1"/>
  <c r="U137" i="2" s="1"/>
  <c r="K30" i="2"/>
  <c r="L30" i="2" s="1"/>
  <c r="O30" i="2" s="1"/>
  <c r="K14" i="2"/>
  <c r="L14" i="2" s="1"/>
  <c r="O14" i="2" s="1"/>
  <c r="K85" i="2"/>
  <c r="K122" i="2"/>
  <c r="L122" i="2" s="1"/>
  <c r="K95" i="2"/>
  <c r="L95" i="2" s="1"/>
  <c r="O95" i="2" s="1"/>
  <c r="K88" i="2"/>
  <c r="L88" i="2" s="1"/>
  <c r="O88" i="2" s="1"/>
  <c r="K28" i="2"/>
  <c r="L28" i="2" s="1"/>
  <c r="O28" i="2" s="1"/>
  <c r="K42" i="2"/>
  <c r="L42" i="2" s="1"/>
  <c r="P127" i="2"/>
  <c r="Q127" i="2" s="1"/>
  <c r="S127" i="2" s="1"/>
  <c r="T127" i="2" s="1"/>
  <c r="U127" i="2" s="1"/>
  <c r="P84" i="2"/>
  <c r="Q84" i="2" s="1"/>
  <c r="S84" i="2" s="1"/>
  <c r="T84" i="2" s="1"/>
  <c r="U84" i="2" s="1"/>
  <c r="P141" i="2"/>
  <c r="Q141" i="2" s="1"/>
  <c r="S141" i="2" s="1"/>
  <c r="T141" i="2" s="1"/>
  <c r="U141" i="2" s="1"/>
  <c r="P15" i="2"/>
  <c r="Q15" i="2" s="1"/>
  <c r="S15" i="2" s="1"/>
  <c r="T15" i="2" s="1"/>
  <c r="U15" i="2" s="1"/>
  <c r="P79" i="2"/>
  <c r="Q79" i="2" s="1"/>
  <c r="S79" i="2" s="1"/>
  <c r="T79" i="2" s="1"/>
  <c r="U79" i="2" s="1"/>
  <c r="P129" i="2"/>
  <c r="Q129" i="2" s="1"/>
  <c r="S129" i="2" s="1"/>
  <c r="T129" i="2" s="1"/>
  <c r="U129" i="2" s="1"/>
  <c r="P104" i="2"/>
  <c r="Q104" i="2" s="1"/>
  <c r="S104" i="2" s="1"/>
  <c r="T104" i="2" s="1"/>
  <c r="U104" i="2" s="1"/>
  <c r="P52" i="2"/>
  <c r="Q52" i="2" s="1"/>
  <c r="S52" i="2" s="1"/>
  <c r="T52" i="2" s="1"/>
  <c r="U52" i="2" s="1"/>
  <c r="P146" i="2"/>
  <c r="Q146" i="2" s="1"/>
  <c r="S146" i="2" s="1"/>
  <c r="T146" i="2" s="1"/>
  <c r="U146" i="2" s="1"/>
  <c r="P106" i="2"/>
  <c r="Q106" i="2" s="1"/>
  <c r="S106" i="2" s="1"/>
  <c r="T106" i="2" s="1"/>
  <c r="U106" i="2" s="1"/>
  <c r="P139" i="2"/>
  <c r="Q139" i="2" s="1"/>
  <c r="S139" i="2" s="1"/>
  <c r="T139" i="2" s="1"/>
  <c r="U139" i="2" s="1"/>
  <c r="P143" i="2"/>
  <c r="Q143" i="2" s="1"/>
  <c r="S143" i="2" s="1"/>
  <c r="T143" i="2" s="1"/>
  <c r="U143" i="2" s="1"/>
  <c r="P130" i="2"/>
  <c r="Q130" i="2" s="1"/>
  <c r="S130" i="2" s="1"/>
  <c r="T130" i="2" s="1"/>
  <c r="U130" i="2" s="1"/>
  <c r="P132" i="2"/>
  <c r="Q132" i="2" s="1"/>
  <c r="S132" i="2" s="1"/>
  <c r="T132" i="2" s="1"/>
  <c r="U132" i="2" s="1"/>
  <c r="P138" i="2"/>
  <c r="Q138" i="2" s="1"/>
  <c r="S138" i="2" s="1"/>
  <c r="T138" i="2" s="1"/>
  <c r="U138" i="2" s="1"/>
  <c r="P38" i="2"/>
  <c r="Q38" i="2" s="1"/>
  <c r="S38" i="2" s="1"/>
  <c r="T38" i="2" s="1"/>
  <c r="U38" i="2" s="1"/>
  <c r="P83" i="2"/>
  <c r="Q83" i="2" s="1"/>
  <c r="S83" i="2" s="1"/>
  <c r="T83" i="2" s="1"/>
  <c r="U83" i="2" s="1"/>
  <c r="P74" i="2"/>
  <c r="Q74" i="2" s="1"/>
  <c r="S74" i="2" s="1"/>
  <c r="T74" i="2" s="1"/>
  <c r="U74" i="2" s="1"/>
  <c r="P81" i="2"/>
  <c r="Q81" i="2" s="1"/>
  <c r="S81" i="2" s="1"/>
  <c r="T81" i="2" s="1"/>
  <c r="U81" i="2" s="1"/>
  <c r="P45" i="2"/>
  <c r="Q45" i="2" s="1"/>
  <c r="S45" i="2" s="1"/>
  <c r="T45" i="2" s="1"/>
  <c r="U45" i="2" s="1"/>
  <c r="P26" i="2"/>
  <c r="Q26" i="2" s="1"/>
  <c r="S26" i="2" s="1"/>
  <c r="T26" i="2" s="1"/>
  <c r="U26" i="2" s="1"/>
  <c r="P86" i="2"/>
  <c r="Q86" i="2" s="1"/>
  <c r="S86" i="2" s="1"/>
  <c r="T86" i="2" s="1"/>
  <c r="U86" i="2" s="1"/>
  <c r="P133" i="2"/>
  <c r="Q133" i="2" s="1"/>
  <c r="S133" i="2" s="1"/>
  <c r="T133" i="2" s="1"/>
  <c r="U133" i="2" s="1"/>
  <c r="P13" i="2"/>
  <c r="Q13" i="2" s="1"/>
  <c r="S13" i="2" s="1"/>
  <c r="T13" i="2" s="1"/>
  <c r="U13" i="2" s="1"/>
  <c r="P147" i="2"/>
  <c r="Q147" i="2" s="1"/>
  <c r="S147" i="2" s="1"/>
  <c r="T147" i="2" s="1"/>
  <c r="U147" i="2" s="1"/>
  <c r="P48" i="2"/>
  <c r="Q48" i="2" s="1"/>
  <c r="S48" i="2" s="1"/>
  <c r="T48" i="2" s="1"/>
  <c r="U48" i="2" s="1"/>
  <c r="P63" i="2"/>
  <c r="Q63" i="2" s="1"/>
  <c r="S63" i="2" s="1"/>
  <c r="T63" i="2" s="1"/>
  <c r="U63" i="2" s="1"/>
  <c r="P118" i="2"/>
  <c r="Q118" i="2" s="1"/>
  <c r="S118" i="2" s="1"/>
  <c r="T118" i="2" s="1"/>
  <c r="U118" i="2" s="1"/>
  <c r="P21" i="2"/>
  <c r="Q21" i="2" s="1"/>
  <c r="S21" i="2" s="1"/>
  <c r="T21" i="2" s="1"/>
  <c r="U21" i="2" s="1"/>
  <c r="P101" i="2"/>
  <c r="Q101" i="2" s="1"/>
  <c r="S101" i="2" s="1"/>
  <c r="T101" i="2" s="1"/>
  <c r="U101" i="2" s="1"/>
  <c r="P123" i="2"/>
  <c r="Q123" i="2" s="1"/>
  <c r="S123" i="2" s="1"/>
  <c r="T123" i="2" s="1"/>
  <c r="U123" i="2" s="1"/>
  <c r="P76" i="2"/>
  <c r="Q76" i="2" s="1"/>
  <c r="S76" i="2" s="1"/>
  <c r="T76" i="2" s="1"/>
  <c r="U76" i="2" s="1"/>
  <c r="P112" i="2"/>
  <c r="Q112" i="2" s="1"/>
  <c r="S112" i="2" s="1"/>
  <c r="T112" i="2" s="1"/>
  <c r="U112" i="2" s="1"/>
  <c r="P135" i="2"/>
  <c r="Q135" i="2" s="1"/>
  <c r="S135" i="2" s="1"/>
  <c r="T135" i="2" s="1"/>
  <c r="U135" i="2" s="1"/>
  <c r="P98" i="2"/>
  <c r="Q98" i="2" s="1"/>
  <c r="S98" i="2" s="1"/>
  <c r="T98" i="2" s="1"/>
  <c r="U98" i="2" s="1"/>
  <c r="P57" i="2"/>
  <c r="Q57" i="2" s="1"/>
  <c r="S57" i="2" s="1"/>
  <c r="T57" i="2" s="1"/>
  <c r="U57" i="2" s="1"/>
  <c r="P44" i="2"/>
  <c r="Q44" i="2" s="1"/>
  <c r="S44" i="2" s="1"/>
  <c r="T44" i="2" s="1"/>
  <c r="U44" i="2" s="1"/>
  <c r="P145" i="2"/>
  <c r="Q145" i="2" s="1"/>
  <c r="S145" i="2" s="1"/>
  <c r="T145" i="2" s="1"/>
  <c r="U145" i="2" s="1"/>
  <c r="H153" i="2"/>
  <c r="I12" i="2"/>
  <c r="I153" i="2" s="1"/>
  <c r="N12" i="2"/>
  <c r="N153" i="2" s="1"/>
  <c r="J12" i="2"/>
  <c r="J153" i="2" s="1"/>
  <c r="P124" i="2"/>
  <c r="Q124" i="2" s="1"/>
  <c r="S124" i="2" s="1"/>
  <c r="T124" i="2" s="1"/>
  <c r="U124" i="2" s="1"/>
  <c r="P103" i="2"/>
  <c r="Q103" i="2" s="1"/>
  <c r="S103" i="2" s="1"/>
  <c r="T103" i="2" s="1"/>
  <c r="U103" i="2" s="1"/>
  <c r="K45" i="1"/>
  <c r="L45" i="1" s="1"/>
  <c r="O45" i="1" s="1"/>
  <c r="O60" i="1"/>
  <c r="P60" i="1" s="1"/>
  <c r="Q60" i="1" s="1"/>
  <c r="S60" i="1" s="1"/>
  <c r="T60" i="1" s="1"/>
  <c r="U60" i="1" s="1"/>
  <c r="K21" i="1"/>
  <c r="L21" i="1" s="1"/>
  <c r="O21" i="1" s="1"/>
  <c r="P21" i="1" s="1"/>
  <c r="Q21" i="1" s="1"/>
  <c r="S21" i="1" s="1"/>
  <c r="T21" i="1" s="1"/>
  <c r="U21" i="1" s="1"/>
  <c r="K61" i="1"/>
  <c r="L61" i="1" s="1"/>
  <c r="O61" i="1" s="1"/>
  <c r="P61" i="1" s="1"/>
  <c r="Q61" i="1" s="1"/>
  <c r="S61" i="1" s="1"/>
  <c r="T61" i="1" s="1"/>
  <c r="U61" i="1" s="1"/>
  <c r="L24" i="1"/>
  <c r="O24" i="1" s="1"/>
  <c r="P18" i="1"/>
  <c r="Q18" i="1" s="1"/>
  <c r="S18" i="1" s="1"/>
  <c r="T18" i="1" s="1"/>
  <c r="U18" i="1" s="1"/>
  <c r="L17" i="1"/>
  <c r="O17" i="1" s="1"/>
  <c r="O57" i="1"/>
  <c r="P57" i="1" s="1"/>
  <c r="Q57" i="1" s="1"/>
  <c r="S57" i="1" s="1"/>
  <c r="T57" i="1" s="1"/>
  <c r="U57" i="1" s="1"/>
  <c r="L46" i="1"/>
  <c r="O46" i="1" s="1"/>
  <c r="P46" i="1" s="1"/>
  <c r="Q46" i="1" s="1"/>
  <c r="S46" i="1" s="1"/>
  <c r="T46" i="1" s="1"/>
  <c r="U46" i="1" s="1"/>
  <c r="P55" i="1"/>
  <c r="Q55" i="1" s="1"/>
  <c r="S55" i="1" s="1"/>
  <c r="T55" i="1" s="1"/>
  <c r="U55" i="1" s="1"/>
  <c r="P14" i="1"/>
  <c r="Q14" i="1"/>
  <c r="S14" i="1" s="1"/>
  <c r="T14" i="1" s="1"/>
  <c r="U14" i="1" s="1"/>
  <c r="P20" i="1"/>
  <c r="Q20" i="1" s="1"/>
  <c r="S20" i="1" s="1"/>
  <c r="T20" i="1" s="1"/>
  <c r="U20" i="1" s="1"/>
  <c r="P38" i="1"/>
  <c r="Q38" i="1" s="1"/>
  <c r="S38" i="1" s="1"/>
  <c r="T38" i="1" s="1"/>
  <c r="U38" i="1" s="1"/>
  <c r="P16" i="1"/>
  <c r="Q16" i="1" s="1"/>
  <c r="S16" i="1" s="1"/>
  <c r="T16" i="1" s="1"/>
  <c r="U16" i="1" s="1"/>
  <c r="P23" i="1"/>
  <c r="Q23" i="1" s="1"/>
  <c r="S23" i="1" s="1"/>
  <c r="T23" i="1" s="1"/>
  <c r="U23" i="1" s="1"/>
  <c r="P41" i="1"/>
  <c r="Q41" i="1" s="1"/>
  <c r="S41" i="1" s="1"/>
  <c r="T41" i="1" s="1"/>
  <c r="U41" i="1" s="1"/>
  <c r="P52" i="1"/>
  <c r="Q52" i="1" s="1"/>
  <c r="S52" i="1" s="1"/>
  <c r="T52" i="1" s="1"/>
  <c r="U52" i="1" s="1"/>
  <c r="P48" i="1"/>
  <c r="Q48" i="1" s="1"/>
  <c r="S48" i="1" s="1"/>
  <c r="T48" i="1" s="1"/>
  <c r="U48" i="1" s="1"/>
  <c r="P42" i="1"/>
  <c r="Q42" i="1" s="1"/>
  <c r="S42" i="1" s="1"/>
  <c r="T42" i="1" s="1"/>
  <c r="U42" i="1" s="1"/>
  <c r="P26" i="1"/>
  <c r="Q26" i="1"/>
  <c r="S26" i="1" s="1"/>
  <c r="T26" i="1" s="1"/>
  <c r="U26" i="1" s="1"/>
  <c r="P44" i="1"/>
  <c r="Q44" i="1" s="1"/>
  <c r="S44" i="1" s="1"/>
  <c r="T44" i="1" s="1"/>
  <c r="U44" i="1" s="1"/>
  <c r="P22" i="1"/>
  <c r="Q22" i="1" s="1"/>
  <c r="S22" i="1" s="1"/>
  <c r="T22" i="1" s="1"/>
  <c r="U22" i="1" s="1"/>
  <c r="L25" i="1"/>
  <c r="O25" i="1" s="1"/>
  <c r="P59" i="1"/>
  <c r="Q59" i="1" s="1"/>
  <c r="S59" i="1" s="1"/>
  <c r="T59" i="1" s="1"/>
  <c r="U59" i="1" s="1"/>
  <c r="H63" i="1"/>
  <c r="I13" i="1"/>
  <c r="I63" i="1" s="1"/>
  <c r="N13" i="1"/>
  <c r="N63" i="1" s="1"/>
  <c r="J13" i="1"/>
  <c r="J63" i="1" s="1"/>
  <c r="P35" i="1"/>
  <c r="Q35" i="1" s="1"/>
  <c r="S35" i="1" s="1"/>
  <c r="T35" i="1" s="1"/>
  <c r="U35" i="1" s="1"/>
  <c r="P53" i="1"/>
  <c r="Q53" i="1" s="1"/>
  <c r="S53" i="1" s="1"/>
  <c r="T53" i="1" s="1"/>
  <c r="U53" i="1" s="1"/>
  <c r="P51" i="1"/>
  <c r="Q51" i="1" s="1"/>
  <c r="S51" i="1" s="1"/>
  <c r="T51" i="1" s="1"/>
  <c r="U51" i="1" s="1"/>
  <c r="P40" i="1"/>
  <c r="Q40" i="1" s="1"/>
  <c r="S40" i="1" s="1"/>
  <c r="T40" i="1" s="1"/>
  <c r="U40" i="1" s="1"/>
  <c r="P37" i="1"/>
  <c r="Q37" i="1" s="1"/>
  <c r="S37" i="1" s="1"/>
  <c r="T37" i="1" s="1"/>
  <c r="U37" i="1" s="1"/>
  <c r="P39" i="1"/>
  <c r="Q39" i="1" s="1"/>
  <c r="S39" i="1" s="1"/>
  <c r="T39" i="1" s="1"/>
  <c r="U39" i="1" s="1"/>
  <c r="P50" i="1"/>
  <c r="Q50" i="1" s="1"/>
  <c r="S50" i="1" s="1"/>
  <c r="T50" i="1" s="1"/>
  <c r="U50" i="1" s="1"/>
  <c r="P15" i="1"/>
  <c r="Q15" i="1" s="1"/>
  <c r="S15" i="1" s="1"/>
  <c r="T15" i="1" s="1"/>
  <c r="U15" i="1" s="1"/>
  <c r="P28" i="1"/>
  <c r="Q28" i="1" s="1"/>
  <c r="S28" i="1" s="1"/>
  <c r="T28" i="1" s="1"/>
  <c r="U28" i="1" s="1"/>
  <c r="L62" i="2" l="1"/>
  <c r="O62" i="2" s="1"/>
  <c r="P62" i="2" s="1"/>
  <c r="Q62" i="2" s="1"/>
  <c r="S62" i="2" s="1"/>
  <c r="T62" i="2" s="1"/>
  <c r="U62" i="2" s="1"/>
  <c r="O56" i="2"/>
  <c r="P56" i="2" s="1"/>
  <c r="Q56" i="2" s="1"/>
  <c r="S56" i="2" s="1"/>
  <c r="T56" i="2" s="1"/>
  <c r="U56" i="2" s="1"/>
  <c r="O42" i="2"/>
  <c r="P42" i="2" s="1"/>
  <c r="Q42" i="2" s="1"/>
  <c r="S42" i="2" s="1"/>
  <c r="T42" i="2" s="1"/>
  <c r="U42" i="2" s="1"/>
  <c r="L97" i="2"/>
  <c r="O97" i="2" s="1"/>
  <c r="P97" i="2" s="1"/>
  <c r="Q97" i="2" s="1"/>
  <c r="S97" i="2" s="1"/>
  <c r="T97" i="2" s="1"/>
  <c r="U97" i="2" s="1"/>
  <c r="P70" i="2"/>
  <c r="Q70" i="2" s="1"/>
  <c r="S70" i="2" s="1"/>
  <c r="T70" i="2" s="1"/>
  <c r="U70" i="2" s="1"/>
  <c r="O122" i="2"/>
  <c r="P122" i="2" s="1"/>
  <c r="Q122" i="2" s="1"/>
  <c r="S122" i="2" s="1"/>
  <c r="T122" i="2" s="1"/>
  <c r="U122" i="2" s="1"/>
  <c r="L85" i="2"/>
  <c r="O85" i="2" s="1"/>
  <c r="P85" i="2" s="1"/>
  <c r="Q85" i="2" s="1"/>
  <c r="S85" i="2" s="1"/>
  <c r="T85" i="2" s="1"/>
  <c r="U85" i="2" s="1"/>
  <c r="P14" i="2"/>
  <c r="Q14" i="2" s="1"/>
  <c r="S14" i="2" s="1"/>
  <c r="U14" i="2" s="1"/>
  <c r="P89" i="2"/>
  <c r="Q89" i="2" s="1"/>
  <c r="S89" i="2" s="1"/>
  <c r="T89" i="2" s="1"/>
  <c r="U89" i="2" s="1"/>
  <c r="P28" i="2"/>
  <c r="Q28" i="2" s="1"/>
  <c r="S28" i="2" s="1"/>
  <c r="T28" i="2" s="1"/>
  <c r="U28" i="2" s="1"/>
  <c r="P54" i="2"/>
  <c r="Q54" i="2" s="1"/>
  <c r="S54" i="2" s="1"/>
  <c r="T54" i="2" s="1"/>
  <c r="U54" i="2" s="1"/>
  <c r="P58" i="2"/>
  <c r="Q58" i="2" s="1"/>
  <c r="S58" i="2" s="1"/>
  <c r="T58" i="2" s="1"/>
  <c r="U58" i="2" s="1"/>
  <c r="P67" i="2"/>
  <c r="Q67" i="2" s="1"/>
  <c r="S67" i="2" s="1"/>
  <c r="T67" i="2" s="1"/>
  <c r="U67" i="2" s="1"/>
  <c r="P95" i="2"/>
  <c r="Q95" i="2" s="1"/>
  <c r="S95" i="2" s="1"/>
  <c r="T95" i="2" s="1"/>
  <c r="U95" i="2" s="1"/>
  <c r="P30" i="2"/>
  <c r="Q30" i="2" s="1"/>
  <c r="S30" i="2" s="1"/>
  <c r="T30" i="2" s="1"/>
  <c r="U30" i="2" s="1"/>
  <c r="P88" i="2"/>
  <c r="Q88" i="2" s="1"/>
  <c r="S88" i="2" s="1"/>
  <c r="T88" i="2" s="1"/>
  <c r="U88" i="2" s="1"/>
  <c r="P20" i="2"/>
  <c r="Q20" i="2" s="1"/>
  <c r="S20" i="2" s="1"/>
  <c r="T20" i="2" s="1"/>
  <c r="U20" i="2" s="1"/>
  <c r="P75" i="2"/>
  <c r="Q75" i="2" s="1"/>
  <c r="S75" i="2" s="1"/>
  <c r="T75" i="2" s="1"/>
  <c r="U75" i="2" s="1"/>
  <c r="K12" i="2"/>
  <c r="P24" i="1"/>
  <c r="Q24" i="1" s="1"/>
  <c r="S24" i="1" s="1"/>
  <c r="T24" i="1" s="1"/>
  <c r="U24" i="1" s="1"/>
  <c r="P17" i="1"/>
  <c r="Q17" i="1" s="1"/>
  <c r="S17" i="1" s="1"/>
  <c r="T17" i="1" s="1"/>
  <c r="U17" i="1" s="1"/>
  <c r="P45" i="1"/>
  <c r="Q45" i="1" s="1"/>
  <c r="S45" i="1" s="1"/>
  <c r="T45" i="1" s="1"/>
  <c r="U45" i="1" s="1"/>
  <c r="P25" i="1"/>
  <c r="Q25" i="1" s="1"/>
  <c r="S25" i="1" s="1"/>
  <c r="T25" i="1" s="1"/>
  <c r="U25" i="1" s="1"/>
  <c r="K13" i="1"/>
  <c r="P19" i="1"/>
  <c r="Q19" i="1" s="1"/>
  <c r="S19" i="1" s="1"/>
  <c r="T19" i="1" s="1"/>
  <c r="U19" i="1" s="1"/>
  <c r="K153" i="2" l="1"/>
  <c r="L12" i="2"/>
  <c r="L153" i="2" s="1"/>
  <c r="K63" i="1"/>
  <c r="L13" i="1"/>
  <c r="L63" i="1" s="1"/>
  <c r="O12" i="2" l="1"/>
  <c r="O153" i="2" s="1"/>
  <c r="O13" i="1"/>
  <c r="O63" i="1" s="1"/>
  <c r="P13" i="1"/>
  <c r="P63" i="1" s="1"/>
  <c r="P12" i="2" l="1"/>
  <c r="P153" i="2" s="1"/>
  <c r="Q13" i="1"/>
  <c r="Q63" i="1" s="1"/>
  <c r="Q12" i="2" l="1"/>
  <c r="Q153" i="2" s="1"/>
  <c r="S153" i="2" s="1"/>
  <c r="S13" i="1"/>
  <c r="S62" i="1" s="1"/>
  <c r="T63" i="1"/>
  <c r="U63" i="1" s="1"/>
  <c r="S63" i="1"/>
  <c r="T153" i="2" l="1"/>
  <c r="U153" i="2" s="1"/>
  <c r="S12" i="2"/>
  <c r="T13" i="1"/>
  <c r="T62" i="1" l="1"/>
  <c r="U62" i="1" s="1"/>
  <c r="U13" i="1"/>
  <c r="S152" i="2"/>
  <c r="T12" i="2"/>
  <c r="T152" i="2" l="1"/>
  <c r="U12" i="2"/>
  <c r="U152" i="2" l="1"/>
</calcChain>
</file>

<file path=xl/sharedStrings.xml><?xml version="1.0" encoding="utf-8"?>
<sst xmlns="http://schemas.openxmlformats.org/spreadsheetml/2006/main" count="267" uniqueCount="235">
  <si>
    <t xml:space="preserve"> nuo 2023-01-01</t>
  </si>
  <si>
    <t>Eur per mėn. /be PVM/</t>
  </si>
  <si>
    <t>Valymo apimtis</t>
  </si>
  <si>
    <t>Namo</t>
  </si>
  <si>
    <t>Namų adresas</t>
  </si>
  <si>
    <t>Įėjimo į laiptinę laiptai</t>
  </si>
  <si>
    <t>laiptinės</t>
  </si>
  <si>
    <t>Iš viso valytojų etatų skaičius</t>
  </si>
  <si>
    <t>Valytojų pagrindinis darbo užmokestis (840 Eur)</t>
  </si>
  <si>
    <r>
      <t>Darbo užmokestis už kasmet. atostogas,</t>
    </r>
    <r>
      <rPr>
        <sz val="10"/>
        <color theme="1"/>
        <rFont val="Arial"/>
        <family val="2"/>
        <charset val="186"/>
      </rPr>
      <t xml:space="preserve"> 10%</t>
    </r>
  </si>
  <si>
    <r>
      <t xml:space="preserve">Sanitarijos </t>
    </r>
    <r>
      <rPr>
        <sz val="12"/>
        <rFont val="Arial Cyr"/>
        <charset val="186"/>
      </rPr>
      <t>technikų, sandėlininko darbo užmokestis , 10% valytojų pagrind. darbo užm.</t>
    </r>
  </si>
  <si>
    <t>Iš viso darbo užmokestis</t>
  </si>
  <si>
    <r>
      <t xml:space="preserve">Soc. Draudimas, GF, IDIF </t>
    </r>
    <r>
      <rPr>
        <sz val="10"/>
        <rFont val="Arial Cyr"/>
        <charset val="186"/>
      </rPr>
      <t>(1,84%)</t>
    </r>
  </si>
  <si>
    <t>Valymo medžiagos ir įrankiai, 7,22 Eur 1 etatui</t>
  </si>
  <si>
    <t>Pridėtinės išlaidos, 19,4%valytojų pagrind. darbo užm.</t>
  </si>
  <si>
    <t>Viso išlaidų</t>
  </si>
  <si>
    <t>Pelnas (4 %)</t>
  </si>
  <si>
    <t>Iš viso paslaugų kaina per mėn.,  Eur  (be PVM)</t>
  </si>
  <si>
    <t>bendras</t>
  </si>
  <si>
    <t>Tarifas</t>
  </si>
  <si>
    <t>naudingasis</t>
  </si>
  <si>
    <t>1 kv. m</t>
  </si>
  <si>
    <t>plotas</t>
  </si>
  <si>
    <t>nauding.</t>
  </si>
  <si>
    <t>Plotas</t>
  </si>
  <si>
    <t>Valyt.</t>
  </si>
  <si>
    <t>kv. m</t>
  </si>
  <si>
    <t xml:space="preserve">ploto (Eur </t>
  </si>
  <si>
    <t>et.</t>
  </si>
  <si>
    <t>be PVM)</t>
  </si>
  <si>
    <t>Parko g. 11 ( III, VI, VII, IX, X laipt.)</t>
  </si>
  <si>
    <t>Parko g. 15</t>
  </si>
  <si>
    <t>Vilties g. 11</t>
  </si>
  <si>
    <t>Vilties g. 15</t>
  </si>
  <si>
    <t>Vilties g. 19 (II laipt.)</t>
  </si>
  <si>
    <t>Vilties g. 23 (I laipt.)</t>
  </si>
  <si>
    <t>Visagino g. 2 (I, III, IV laipt.)</t>
  </si>
  <si>
    <t>Visagino g. 10 (II laipt.)</t>
  </si>
  <si>
    <t>Visagino g. 12</t>
  </si>
  <si>
    <t>Visagino g. 15 (I laipt.)</t>
  </si>
  <si>
    <t>Visagino g. 18 (I laipt.)</t>
  </si>
  <si>
    <t>Visagino g. 21 (II laipt.)</t>
  </si>
  <si>
    <t>Sedulinos al. 3 (III- V, VIII, IX laipt.)</t>
  </si>
  <si>
    <t>Sedulinos al. 6 (II, IV, V, VI laipt.)</t>
  </si>
  <si>
    <t>Sedulinos al. 8</t>
  </si>
  <si>
    <t>Sedulinos al. 11 (III, VI  laipt.)</t>
  </si>
  <si>
    <t>Sedulinos al 67 (II laipt.)</t>
  </si>
  <si>
    <t>Kosmoso g. 4 (išskyr. IV laipt.)</t>
  </si>
  <si>
    <t>Kosmoso g. 6 (išskyr. I laipt.)</t>
  </si>
  <si>
    <t>Kosmoso g. 16 (IV laipt.)</t>
  </si>
  <si>
    <t>Kosmoso g. 32 (I, III laipt.)</t>
  </si>
  <si>
    <t>Kosmoso g. 34 (išskyr. III laipt.)</t>
  </si>
  <si>
    <t>Kosmoso g. 36</t>
  </si>
  <si>
    <t>Kosmoso g. 42 (I, II , III laipt.)</t>
  </si>
  <si>
    <t>Partizanų g. 3</t>
  </si>
  <si>
    <t>Partizanų g. 4 (II laipt.)</t>
  </si>
  <si>
    <t>Partizanų g. 10 (I laipt.)</t>
  </si>
  <si>
    <t>Partizanų g. 12 (I, II laipt.)</t>
  </si>
  <si>
    <t>Festivalio g. 10 (išskyr. I laipt.)</t>
  </si>
  <si>
    <t>Festivalio g. 15 (II laipt.)</t>
  </si>
  <si>
    <t>Taikos pr. 42 (I-III laipt.)</t>
  </si>
  <si>
    <t>Taikos pr. 46  (I, III laipt.)</t>
  </si>
  <si>
    <t>Taikos pr. 72V (I,II laipt.)</t>
  </si>
  <si>
    <t>Taikos pr. 78B</t>
  </si>
  <si>
    <t xml:space="preserve">Jaunystės g. 25 (II laipt.)    </t>
  </si>
  <si>
    <t>Draugystės g. 27 (II laipt.)</t>
  </si>
  <si>
    <t>Energetikų g. 24 (II laipt.)</t>
  </si>
  <si>
    <t>Energetikų g. 62 (I laipt.)</t>
  </si>
  <si>
    <t>Statybininkų g. 3 (II laipt)</t>
  </si>
  <si>
    <t>Statybininkų g. 10</t>
  </si>
  <si>
    <t>Statybininkų g. 13</t>
  </si>
  <si>
    <t>Statybininkų g. 15/62 (II, III laipt.)</t>
  </si>
  <si>
    <t>Veteranų g. 10</t>
  </si>
  <si>
    <t>Veteranų g. 14 (I, II laipt.)</t>
  </si>
  <si>
    <t>Veteranų g. 17 ( II, III laipt.)</t>
  </si>
  <si>
    <t>Tarybų g. 5A</t>
  </si>
  <si>
    <t>IŠ VISO</t>
  </si>
  <si>
    <t xml:space="preserve">Daugiabučių namų bendrojo naudojimo  patalpų </t>
  </si>
  <si>
    <t>valymo paslaugų tarifai</t>
  </si>
  <si>
    <t xml:space="preserve"> (valymo periodiškumas - 5 kartus /savaitę)</t>
  </si>
  <si>
    <t>Tarifas 1 m² naudingo ploto per mėn.</t>
  </si>
  <si>
    <t>be PVM</t>
  </si>
  <si>
    <t>su PVM</t>
  </si>
  <si>
    <t>Eil.Nr.</t>
  </si>
  <si>
    <t>Kosmoso g. 28</t>
  </si>
  <si>
    <t>Kosmoso g. 30</t>
  </si>
  <si>
    <t>Parko g. 11 (I, II, IV, V laipt.)</t>
  </si>
  <si>
    <t>Parko g. 13</t>
  </si>
  <si>
    <t xml:space="preserve">Parko g. 23 </t>
  </si>
  <si>
    <t>Parko g. 25/1</t>
  </si>
  <si>
    <t>Vilties g. 2</t>
  </si>
  <si>
    <t>Vilties g.7</t>
  </si>
  <si>
    <t>Vilties g. 9</t>
  </si>
  <si>
    <t>Vilties g. 12 (I laipt.)</t>
  </si>
  <si>
    <t>Vilties g. 13</t>
  </si>
  <si>
    <t>Vilties g. 17</t>
  </si>
  <si>
    <t>Vilties g. 18</t>
  </si>
  <si>
    <t>Vilties g. 19 (I laipt.)</t>
  </si>
  <si>
    <t>Vilties g. 20</t>
  </si>
  <si>
    <t>Vilties g. 21</t>
  </si>
  <si>
    <t>Vilties g. 23 (II laipt.)</t>
  </si>
  <si>
    <t>Visagino g. 2 (II laipt.)</t>
  </si>
  <si>
    <t>Visagino g. 5</t>
  </si>
  <si>
    <t>Visagino g. 10 (I, III laipt.)</t>
  </si>
  <si>
    <t>Visagino g. 13</t>
  </si>
  <si>
    <t>Visagino g. 15 (II laipt.)</t>
  </si>
  <si>
    <t>Visagino g. 18 (II laipt.)</t>
  </si>
  <si>
    <t>Visagino g. 21 (I laipt.)</t>
  </si>
  <si>
    <t>Visagino g. 23</t>
  </si>
  <si>
    <t>Visagino g. 25</t>
  </si>
  <si>
    <t>Sedulinos al. 3 (I, II, VI, VII laipt.)</t>
  </si>
  <si>
    <t>Sedulinos al. 6 (I, III laipt.)</t>
  </si>
  <si>
    <t>Sedulinos al. 11 (I, II, IV, V, VII laipt.)</t>
  </si>
  <si>
    <t>Sedulinos al. 47</t>
  </si>
  <si>
    <t>Sedulinos al. 53</t>
  </si>
  <si>
    <t>Sedulinos al. 55</t>
  </si>
  <si>
    <t>Sedulinos al. 63</t>
  </si>
  <si>
    <t xml:space="preserve">Sedulinos al. 71 </t>
  </si>
  <si>
    <t>Kosmoso g. 4 (IV laipt.)</t>
  </si>
  <si>
    <t>Kosmoso g. 6 (I laipt.)</t>
  </si>
  <si>
    <t>Kosmoso g. 8</t>
  </si>
  <si>
    <t>Kosmoso g. 14/1</t>
  </si>
  <si>
    <t>Kosmoso g. 16 (I, III laipt.)</t>
  </si>
  <si>
    <t>Kosmoso g. 18</t>
  </si>
  <si>
    <t>Kosmoso g. 34 (III laipt.)</t>
  </si>
  <si>
    <t>Kosmoso g. 38</t>
  </si>
  <si>
    <t>Kosmoso g. 42 (IV laipt.)</t>
  </si>
  <si>
    <t xml:space="preserve">Kosmoso g. 44 </t>
  </si>
  <si>
    <t>Partizanų g. 4 (I laipt.)</t>
  </si>
  <si>
    <t>Partizanų g. 5 (I laipt.)</t>
  </si>
  <si>
    <t xml:space="preserve">Partizanų g. 6 </t>
  </si>
  <si>
    <t>Partizanų g. 7</t>
  </si>
  <si>
    <t>Partizanų g. 8</t>
  </si>
  <si>
    <t>Partizanų g. 10 (II laipt.)</t>
  </si>
  <si>
    <t xml:space="preserve">Partizanų g. 11 </t>
  </si>
  <si>
    <t>Partizanų g. 12 (III laipt.)</t>
  </si>
  <si>
    <t>Partizanų g. 16</t>
  </si>
  <si>
    <t>Partizanų g. 17</t>
  </si>
  <si>
    <t xml:space="preserve">Festivalio g.10 (I laipt.)išskyr. 48,50 bt. </t>
  </si>
  <si>
    <t>Festivalio g. 13</t>
  </si>
  <si>
    <t>Festivalio g. 15 (I, III laipt.)</t>
  </si>
  <si>
    <t>Festivalio 17 ( II laipt.)</t>
  </si>
  <si>
    <t>Taikos pr. 12</t>
  </si>
  <si>
    <t>Taikos pr. 22</t>
  </si>
  <si>
    <t>Taikos pr. 26</t>
  </si>
  <si>
    <t>Taikos pr. 30</t>
  </si>
  <si>
    <t>Taikos pr. 38</t>
  </si>
  <si>
    <t>Taikos pr. 44/19</t>
  </si>
  <si>
    <t>Taikos pr. 46 (II, IV laipt.)</t>
  </si>
  <si>
    <t>Taikos pr. 48</t>
  </si>
  <si>
    <t>Taikos pr. 52</t>
  </si>
  <si>
    <t>Taikos pr. 70</t>
  </si>
  <si>
    <t>Taikos pr. 72A</t>
  </si>
  <si>
    <t>Taikos pr. 72B</t>
  </si>
  <si>
    <t>Taikos pr. 72V (III laipt.)</t>
  </si>
  <si>
    <t xml:space="preserve">Taikos pr. 74B (II laipt.)  </t>
  </si>
  <si>
    <t>Jaunystės g. 1</t>
  </si>
  <si>
    <t>Jaunystės g. 5</t>
  </si>
  <si>
    <t>Jaunystės g. 13</t>
  </si>
  <si>
    <t>Jaunystės g. 15</t>
  </si>
  <si>
    <t>Jaunystės g. 17</t>
  </si>
  <si>
    <t>Jaunystės g. 19</t>
  </si>
  <si>
    <t>Draugystės g. 3</t>
  </si>
  <si>
    <t>Draugystės g. 15 (I laipt.)</t>
  </si>
  <si>
    <t>Draugystės g. 16</t>
  </si>
  <si>
    <t xml:space="preserve">Draugystės g. 17 </t>
  </si>
  <si>
    <t xml:space="preserve">Draugystės g. 18 </t>
  </si>
  <si>
    <t>Draugystės g. 20</t>
  </si>
  <si>
    <t>Draugystės g. 22</t>
  </si>
  <si>
    <t>Draugystės g. 25</t>
  </si>
  <si>
    <t>Draugystės g. 27 (I laipt.)</t>
  </si>
  <si>
    <t>Draugystės g. 31 ( II laipt.)</t>
  </si>
  <si>
    <t xml:space="preserve">Energetikų g. 8 </t>
  </si>
  <si>
    <t>Energetikų g. 10</t>
  </si>
  <si>
    <t>Energetikų g. 12</t>
  </si>
  <si>
    <t>Energetikų g. 24 (I laipt.)</t>
  </si>
  <si>
    <t xml:space="preserve">Energetikų g. 28 </t>
  </si>
  <si>
    <t>Energetikų g. 30</t>
  </si>
  <si>
    <t>Energetikų g. 32 (I, III laipt.)</t>
  </si>
  <si>
    <t xml:space="preserve">Energetikų g. 38 </t>
  </si>
  <si>
    <t>Energetikų g. 44</t>
  </si>
  <si>
    <t>Energetikų g. 48</t>
  </si>
  <si>
    <t>Energetikų g. 50</t>
  </si>
  <si>
    <t xml:space="preserve">Energetikų g. 54 </t>
  </si>
  <si>
    <t>Energetikų g. 62 (II laipt.)</t>
  </si>
  <si>
    <t>Energetikų g. 66</t>
  </si>
  <si>
    <t>Energetikų g. 68</t>
  </si>
  <si>
    <t xml:space="preserve">Energetikų g. 70 </t>
  </si>
  <si>
    <t>Statybininkų g. 3 (I, III laipt.)</t>
  </si>
  <si>
    <t>Statybininkų g. 9</t>
  </si>
  <si>
    <t>Statybininkų g. 11</t>
  </si>
  <si>
    <t>Statybininkų g. 15/62 (I laipt.)</t>
  </si>
  <si>
    <t>Statybininkų g. 16</t>
  </si>
  <si>
    <t>Statybininkų g. 22</t>
  </si>
  <si>
    <t>Veteranų g. 8</t>
  </si>
  <si>
    <t>Veteranų g. 12</t>
  </si>
  <si>
    <t>Veteranų g. 14 (III laipt.)</t>
  </si>
  <si>
    <t xml:space="preserve">Veteranų g. 15 </t>
  </si>
  <si>
    <t xml:space="preserve">Veteranų g. 16 </t>
  </si>
  <si>
    <t>Tarybų g. 5</t>
  </si>
  <si>
    <t>Tarybų g. 7</t>
  </si>
  <si>
    <t>Tarybų g. 10</t>
  </si>
  <si>
    <t>Tarybų g. 12</t>
  </si>
  <si>
    <t>Tarybų g. 16</t>
  </si>
  <si>
    <t>Tarybų g. 21</t>
  </si>
  <si>
    <t>Darbo užmokestis už kasmet. atostogas, 10%</t>
  </si>
  <si>
    <t>Sanitarijos technikų, sandėlininko darbo užmokestis , 10% valytojų pagrind. darbo užm.</t>
  </si>
  <si>
    <t>Soc. Draudimas, GF, IDIF (1,84%)</t>
  </si>
  <si>
    <t>Eil. Nr.</t>
  </si>
  <si>
    <t xml:space="preserve"> (valymo periodiškumas - 3 kartus /savaitę)</t>
  </si>
  <si>
    <t>Energetikų g. 14 (II, III laipt.)</t>
  </si>
  <si>
    <t>Energetikų g. 22</t>
  </si>
  <si>
    <t>Visagino g.  14</t>
  </si>
  <si>
    <t>Sedulinos al. 7</t>
  </si>
  <si>
    <t>Draugystės g. 23</t>
  </si>
  <si>
    <t>Statybininkų g. 2 (I, III laipt.)</t>
  </si>
  <si>
    <t>Taikos pr. 40</t>
  </si>
  <si>
    <t>Taikos pr.  80 (III laipt.)</t>
  </si>
  <si>
    <t>Taikos pr.  82 (I, II laipt.)</t>
  </si>
  <si>
    <t>Taikos pr. 78A</t>
  </si>
  <si>
    <t>Tarybų g. 11</t>
  </si>
  <si>
    <t>Taikos pr. 84</t>
  </si>
  <si>
    <t>Taikos pr. 88</t>
  </si>
  <si>
    <t>Parko g. 6</t>
  </si>
  <si>
    <t>Parko g. 8  (išsk. 1,67,68,69,70 bt.)</t>
  </si>
  <si>
    <t>Parko g. 10</t>
  </si>
  <si>
    <t>Veteranų g. 22</t>
  </si>
  <si>
    <t>Sedulinos al. 75</t>
  </si>
  <si>
    <t>Veteranų g. 17 (I, IV laipt.)</t>
  </si>
  <si>
    <t>Taikos pr. 42 (IV laipt.)</t>
  </si>
  <si>
    <t>Parko g. 19/1 (išskyr. IV laipt.)</t>
  </si>
  <si>
    <t>Kosmoso g. 32 (II laipt.)</t>
  </si>
  <si>
    <t>Taikos pr. 74 (I, II laipt.)</t>
  </si>
  <si>
    <t>Draugystės g. 21 (I, III laipt.)</t>
  </si>
  <si>
    <t>Draugystės g. 21 (II laipt.)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</si>
</sst>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2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6"/>
      <name val="Arial Cyr"/>
      <family val="2"/>
      <charset val="204"/>
    </font>
    <font>
      <sz val="16"/>
      <color theme="1"/>
      <name val="Arial"/>
      <family val="2"/>
      <charset val="186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186"/>
    </font>
    <font>
      <sz val="12"/>
      <name val="Arial Cyr"/>
      <charset val="186"/>
    </font>
    <font>
      <sz val="12"/>
      <color theme="1"/>
      <name val="Arial"/>
      <family val="2"/>
      <charset val="186"/>
    </font>
    <font>
      <sz val="12"/>
      <name val="Arial Cyr"/>
      <family val="2"/>
      <charset val="204"/>
    </font>
    <font>
      <sz val="10"/>
      <color theme="1"/>
      <name val="Arial"/>
      <family val="2"/>
      <charset val="186"/>
    </font>
    <font>
      <sz val="10"/>
      <name val="Arial Cyr"/>
      <charset val="186"/>
    </font>
    <font>
      <sz val="9"/>
      <name val="Arial Cyr"/>
      <family val="2"/>
      <charset val="204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186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49" fontId="5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textRotation="90" wrapText="1"/>
    </xf>
    <xf numFmtId="164" fontId="0" fillId="0" borderId="6" xfId="0" applyNumberForma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/>
    <xf numFmtId="2" fontId="0" fillId="0" borderId="6" xfId="0" applyNumberFormat="1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1" applyFill="1" applyAlignment="1">
      <alignment horizontal="center"/>
    </xf>
    <xf numFmtId="2" fontId="1" fillId="0" borderId="3" xfId="1" applyNumberFormat="1" applyFill="1" applyBorder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6" xfId="0" applyBorder="1"/>
    <xf numFmtId="0" fontId="1" fillId="0" borderId="3" xfId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0" xfId="0" applyFont="1"/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165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2" fillId="0" borderId="0" xfId="0" applyFont="1"/>
    <xf numFmtId="164" fontId="1" fillId="0" borderId="6" xfId="1" applyNumberFormat="1" applyFill="1" applyBorder="1" applyAlignment="1">
      <alignment horizontal="center"/>
    </xf>
    <xf numFmtId="0" fontId="10" fillId="0" borderId="0" xfId="0" applyFont="1"/>
    <xf numFmtId="0" fontId="0" fillId="0" borderId="3" xfId="0" applyBorder="1" applyAlignment="1">
      <alignment horizont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3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0" fillId="0" borderId="3" xfId="0" applyFont="1" applyBorder="1"/>
    <xf numFmtId="0" fontId="20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2" fontId="17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19" fillId="0" borderId="3" xfId="0" applyFont="1" applyBorder="1"/>
    <xf numFmtId="0" fontId="19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2" fontId="9" fillId="0" borderId="9" xfId="0" applyNumberFormat="1" applyFont="1" applyBorder="1" applyAlignment="1">
      <alignment horizontal="center" textRotation="90"/>
    </xf>
    <xf numFmtId="2" fontId="9" fillId="0" borderId="2" xfId="0" applyNumberFormat="1" applyFont="1" applyBorder="1" applyAlignment="1">
      <alignment horizontal="center" textRotation="90"/>
    </xf>
    <xf numFmtId="2" fontId="9" fillId="0" borderId="10" xfId="0" applyNumberFormat="1" applyFont="1" applyBorder="1" applyAlignment="1">
      <alignment horizontal="center" textRotation="90"/>
    </xf>
    <xf numFmtId="2" fontId="9" fillId="0" borderId="7" xfId="0" applyNumberFormat="1" applyFont="1" applyBorder="1" applyAlignment="1">
      <alignment horizontal="center" textRotation="90"/>
    </xf>
    <xf numFmtId="2" fontId="9" fillId="0" borderId="13" xfId="0" applyNumberFormat="1" applyFont="1" applyBorder="1" applyAlignment="1">
      <alignment horizontal="center" textRotation="90"/>
    </xf>
    <xf numFmtId="2" fontId="9" fillId="0" borderId="12" xfId="0" applyNumberFormat="1" applyFont="1" applyBorder="1" applyAlignment="1">
      <alignment horizontal="center" textRotation="90"/>
    </xf>
    <xf numFmtId="0" fontId="0" fillId="0" borderId="3" xfId="0" applyBorder="1" applyAlignment="1">
      <alignment horizontal="center" wrapText="1"/>
    </xf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1F87-F51E-4068-B001-8F5D55BD85FD}">
  <dimension ref="A2:W198"/>
  <sheetViews>
    <sheetView topLeftCell="A8" workbookViewId="0">
      <selection activeCell="AB51" sqref="AB51"/>
    </sheetView>
  </sheetViews>
  <sheetFormatPr defaultRowHeight="15"/>
  <cols>
    <col min="1" max="1" width="4" style="2" customWidth="1"/>
    <col min="2" max="2" width="38.7109375" customWidth="1"/>
    <col min="3" max="3" width="8.28515625" hidden="1" customWidth="1"/>
    <col min="4" max="4" width="7.140625" hidden="1" customWidth="1"/>
    <col min="5" max="5" width="10" style="2" hidden="1" customWidth="1"/>
    <col min="6" max="9" width="8" style="3" hidden="1" customWidth="1"/>
    <col min="10" max="10" width="12.140625" style="3" hidden="1" customWidth="1"/>
    <col min="11" max="12" width="8" style="3" hidden="1" customWidth="1"/>
    <col min="13" max="13" width="6.85546875" style="3" hidden="1" customWidth="1"/>
    <col min="14" max="17" width="8" style="3" hidden="1" customWidth="1"/>
    <col min="18" max="18" width="10.7109375" style="2" hidden="1" customWidth="1"/>
    <col min="19" max="19" width="9.7109375" style="6" hidden="1" customWidth="1"/>
    <col min="20" max="20" width="14.140625" style="2" customWidth="1"/>
    <col min="21" max="21" width="11.85546875" style="2" customWidth="1"/>
    <col min="164" max="164" width="4.5703125" customWidth="1"/>
    <col min="165" max="165" width="30.140625" customWidth="1"/>
    <col min="166" max="166" width="0" hidden="1" customWidth="1"/>
    <col min="167" max="167" width="8.28515625" customWidth="1"/>
    <col min="168" max="168" width="10.140625" customWidth="1"/>
    <col min="169" max="169" width="8.85546875" customWidth="1"/>
    <col min="170" max="171" width="0" hidden="1" customWidth="1"/>
    <col min="172" max="172" width="10.140625" customWidth="1"/>
    <col min="173" max="173" width="0" hidden="1" customWidth="1"/>
    <col min="174" max="174" width="7.28515625" customWidth="1"/>
    <col min="175" max="176" width="0" hidden="1" customWidth="1"/>
    <col min="177" max="177" width="12" customWidth="1"/>
    <col min="178" max="181" width="0" hidden="1" customWidth="1"/>
    <col min="182" max="182" width="10.28515625" customWidth="1"/>
    <col min="183" max="183" width="12.28515625" customWidth="1"/>
    <col min="185" max="185" width="17.140625" customWidth="1"/>
    <col min="186" max="186" width="6.42578125" customWidth="1"/>
    <col min="187" max="187" width="10" customWidth="1"/>
    <col min="188" max="188" width="6.28515625" customWidth="1"/>
    <col min="189" max="189" width="9.42578125" customWidth="1"/>
    <col min="190" max="190" width="5.7109375" customWidth="1"/>
    <col min="191" max="191" width="9" customWidth="1"/>
    <col min="192" max="192" width="5.7109375" customWidth="1"/>
    <col min="193" max="193" width="8.28515625" customWidth="1"/>
    <col min="194" max="194" width="5.5703125" customWidth="1"/>
    <col min="195" max="195" width="8" customWidth="1"/>
    <col min="196" max="196" width="5.85546875" customWidth="1"/>
    <col min="197" max="197" width="8.85546875" customWidth="1"/>
    <col min="198" max="199" width="8" customWidth="1"/>
    <col min="200" max="200" width="5.85546875" customWidth="1"/>
    <col min="201" max="201" width="6.42578125" customWidth="1"/>
    <col min="202" max="202" width="0" hidden="1" customWidth="1"/>
    <col min="203" max="203" width="12.42578125" customWidth="1"/>
    <col min="420" max="420" width="4.5703125" customWidth="1"/>
    <col min="421" max="421" width="30.140625" customWidth="1"/>
    <col min="422" max="422" width="0" hidden="1" customWidth="1"/>
    <col min="423" max="423" width="8.28515625" customWidth="1"/>
    <col min="424" max="424" width="10.140625" customWidth="1"/>
    <col min="425" max="425" width="8.85546875" customWidth="1"/>
    <col min="426" max="427" width="0" hidden="1" customWidth="1"/>
    <col min="428" max="428" width="10.140625" customWidth="1"/>
    <col min="429" max="429" width="0" hidden="1" customWidth="1"/>
    <col min="430" max="430" width="7.28515625" customWidth="1"/>
    <col min="431" max="432" width="0" hidden="1" customWidth="1"/>
    <col min="433" max="433" width="12" customWidth="1"/>
    <col min="434" max="437" width="0" hidden="1" customWidth="1"/>
    <col min="438" max="438" width="10.28515625" customWidth="1"/>
    <col min="439" max="439" width="12.28515625" customWidth="1"/>
    <col min="441" max="441" width="17.140625" customWidth="1"/>
    <col min="442" max="442" width="6.42578125" customWidth="1"/>
    <col min="443" max="443" width="10" customWidth="1"/>
    <col min="444" max="444" width="6.28515625" customWidth="1"/>
    <col min="445" max="445" width="9.42578125" customWidth="1"/>
    <col min="446" max="446" width="5.7109375" customWidth="1"/>
    <col min="447" max="447" width="9" customWidth="1"/>
    <col min="448" max="448" width="5.7109375" customWidth="1"/>
    <col min="449" max="449" width="8.28515625" customWidth="1"/>
    <col min="450" max="450" width="5.5703125" customWidth="1"/>
    <col min="451" max="451" width="8" customWidth="1"/>
    <col min="452" max="452" width="5.85546875" customWidth="1"/>
    <col min="453" max="453" width="8.85546875" customWidth="1"/>
    <col min="454" max="455" width="8" customWidth="1"/>
    <col min="456" max="456" width="5.85546875" customWidth="1"/>
    <col min="457" max="457" width="6.42578125" customWidth="1"/>
    <col min="458" max="458" width="0" hidden="1" customWidth="1"/>
    <col min="459" max="459" width="12.42578125" customWidth="1"/>
    <col min="676" max="676" width="4.5703125" customWidth="1"/>
    <col min="677" max="677" width="30.140625" customWidth="1"/>
    <col min="678" max="678" width="0" hidden="1" customWidth="1"/>
    <col min="679" max="679" width="8.28515625" customWidth="1"/>
    <col min="680" max="680" width="10.140625" customWidth="1"/>
    <col min="681" max="681" width="8.85546875" customWidth="1"/>
    <col min="682" max="683" width="0" hidden="1" customWidth="1"/>
    <col min="684" max="684" width="10.140625" customWidth="1"/>
    <col min="685" max="685" width="0" hidden="1" customWidth="1"/>
    <col min="686" max="686" width="7.28515625" customWidth="1"/>
    <col min="687" max="688" width="0" hidden="1" customWidth="1"/>
    <col min="689" max="689" width="12" customWidth="1"/>
    <col min="690" max="693" width="0" hidden="1" customWidth="1"/>
    <col min="694" max="694" width="10.28515625" customWidth="1"/>
    <col min="695" max="695" width="12.28515625" customWidth="1"/>
    <col min="697" max="697" width="17.140625" customWidth="1"/>
    <col min="698" max="698" width="6.42578125" customWidth="1"/>
    <col min="699" max="699" width="10" customWidth="1"/>
    <col min="700" max="700" width="6.28515625" customWidth="1"/>
    <col min="701" max="701" width="9.42578125" customWidth="1"/>
    <col min="702" max="702" width="5.7109375" customWidth="1"/>
    <col min="703" max="703" width="9" customWidth="1"/>
    <col min="704" max="704" width="5.7109375" customWidth="1"/>
    <col min="705" max="705" width="8.28515625" customWidth="1"/>
    <col min="706" max="706" width="5.5703125" customWidth="1"/>
    <col min="707" max="707" width="8" customWidth="1"/>
    <col min="708" max="708" width="5.85546875" customWidth="1"/>
    <col min="709" max="709" width="8.85546875" customWidth="1"/>
    <col min="710" max="711" width="8" customWidth="1"/>
    <col min="712" max="712" width="5.85546875" customWidth="1"/>
    <col min="713" max="713" width="6.42578125" customWidth="1"/>
    <col min="714" max="714" width="0" hidden="1" customWidth="1"/>
    <col min="715" max="715" width="12.42578125" customWidth="1"/>
    <col min="932" max="932" width="4.5703125" customWidth="1"/>
    <col min="933" max="933" width="30.140625" customWidth="1"/>
    <col min="934" max="934" width="0" hidden="1" customWidth="1"/>
    <col min="935" max="935" width="8.28515625" customWidth="1"/>
    <col min="936" max="936" width="10.140625" customWidth="1"/>
    <col min="937" max="937" width="8.85546875" customWidth="1"/>
    <col min="938" max="939" width="0" hidden="1" customWidth="1"/>
    <col min="940" max="940" width="10.140625" customWidth="1"/>
    <col min="941" max="941" width="0" hidden="1" customWidth="1"/>
    <col min="942" max="942" width="7.28515625" customWidth="1"/>
    <col min="943" max="944" width="0" hidden="1" customWidth="1"/>
    <col min="945" max="945" width="12" customWidth="1"/>
    <col min="946" max="949" width="0" hidden="1" customWidth="1"/>
    <col min="950" max="950" width="10.28515625" customWidth="1"/>
    <col min="951" max="951" width="12.28515625" customWidth="1"/>
    <col min="953" max="953" width="17.140625" customWidth="1"/>
    <col min="954" max="954" width="6.42578125" customWidth="1"/>
    <col min="955" max="955" width="10" customWidth="1"/>
    <col min="956" max="956" width="6.28515625" customWidth="1"/>
    <col min="957" max="957" width="9.42578125" customWidth="1"/>
    <col min="958" max="958" width="5.7109375" customWidth="1"/>
    <col min="959" max="959" width="9" customWidth="1"/>
    <col min="960" max="960" width="5.7109375" customWidth="1"/>
    <col min="961" max="961" width="8.28515625" customWidth="1"/>
    <col min="962" max="962" width="5.5703125" customWidth="1"/>
    <col min="963" max="963" width="8" customWidth="1"/>
    <col min="964" max="964" width="5.85546875" customWidth="1"/>
    <col min="965" max="965" width="8.85546875" customWidth="1"/>
    <col min="966" max="967" width="8" customWidth="1"/>
    <col min="968" max="968" width="5.85546875" customWidth="1"/>
    <col min="969" max="969" width="6.42578125" customWidth="1"/>
    <col min="970" max="970" width="0" hidden="1" customWidth="1"/>
    <col min="971" max="971" width="12.42578125" customWidth="1"/>
    <col min="1188" max="1188" width="4.5703125" customWidth="1"/>
    <col min="1189" max="1189" width="30.140625" customWidth="1"/>
    <col min="1190" max="1190" width="0" hidden="1" customWidth="1"/>
    <col min="1191" max="1191" width="8.28515625" customWidth="1"/>
    <col min="1192" max="1192" width="10.140625" customWidth="1"/>
    <col min="1193" max="1193" width="8.85546875" customWidth="1"/>
    <col min="1194" max="1195" width="0" hidden="1" customWidth="1"/>
    <col min="1196" max="1196" width="10.140625" customWidth="1"/>
    <col min="1197" max="1197" width="0" hidden="1" customWidth="1"/>
    <col min="1198" max="1198" width="7.28515625" customWidth="1"/>
    <col min="1199" max="1200" width="0" hidden="1" customWidth="1"/>
    <col min="1201" max="1201" width="12" customWidth="1"/>
    <col min="1202" max="1205" width="0" hidden="1" customWidth="1"/>
    <col min="1206" max="1206" width="10.28515625" customWidth="1"/>
    <col min="1207" max="1207" width="12.28515625" customWidth="1"/>
    <col min="1209" max="1209" width="17.140625" customWidth="1"/>
    <col min="1210" max="1210" width="6.42578125" customWidth="1"/>
    <col min="1211" max="1211" width="10" customWidth="1"/>
    <col min="1212" max="1212" width="6.28515625" customWidth="1"/>
    <col min="1213" max="1213" width="9.42578125" customWidth="1"/>
    <col min="1214" max="1214" width="5.7109375" customWidth="1"/>
    <col min="1215" max="1215" width="9" customWidth="1"/>
    <col min="1216" max="1216" width="5.7109375" customWidth="1"/>
    <col min="1217" max="1217" width="8.28515625" customWidth="1"/>
    <col min="1218" max="1218" width="5.5703125" customWidth="1"/>
    <col min="1219" max="1219" width="8" customWidth="1"/>
    <col min="1220" max="1220" width="5.85546875" customWidth="1"/>
    <col min="1221" max="1221" width="8.85546875" customWidth="1"/>
    <col min="1222" max="1223" width="8" customWidth="1"/>
    <col min="1224" max="1224" width="5.85546875" customWidth="1"/>
    <col min="1225" max="1225" width="6.42578125" customWidth="1"/>
    <col min="1226" max="1226" width="0" hidden="1" customWidth="1"/>
    <col min="1227" max="1227" width="12.42578125" customWidth="1"/>
    <col min="1444" max="1444" width="4.5703125" customWidth="1"/>
    <col min="1445" max="1445" width="30.140625" customWidth="1"/>
    <col min="1446" max="1446" width="0" hidden="1" customWidth="1"/>
    <col min="1447" max="1447" width="8.28515625" customWidth="1"/>
    <col min="1448" max="1448" width="10.140625" customWidth="1"/>
    <col min="1449" max="1449" width="8.85546875" customWidth="1"/>
    <col min="1450" max="1451" width="0" hidden="1" customWidth="1"/>
    <col min="1452" max="1452" width="10.140625" customWidth="1"/>
    <col min="1453" max="1453" width="0" hidden="1" customWidth="1"/>
    <col min="1454" max="1454" width="7.28515625" customWidth="1"/>
    <col min="1455" max="1456" width="0" hidden="1" customWidth="1"/>
    <col min="1457" max="1457" width="12" customWidth="1"/>
    <col min="1458" max="1461" width="0" hidden="1" customWidth="1"/>
    <col min="1462" max="1462" width="10.28515625" customWidth="1"/>
    <col min="1463" max="1463" width="12.28515625" customWidth="1"/>
    <col min="1465" max="1465" width="17.140625" customWidth="1"/>
    <col min="1466" max="1466" width="6.42578125" customWidth="1"/>
    <col min="1467" max="1467" width="10" customWidth="1"/>
    <col min="1468" max="1468" width="6.28515625" customWidth="1"/>
    <col min="1469" max="1469" width="9.42578125" customWidth="1"/>
    <col min="1470" max="1470" width="5.7109375" customWidth="1"/>
    <col min="1471" max="1471" width="9" customWidth="1"/>
    <col min="1472" max="1472" width="5.7109375" customWidth="1"/>
    <col min="1473" max="1473" width="8.28515625" customWidth="1"/>
    <col min="1474" max="1474" width="5.5703125" customWidth="1"/>
    <col min="1475" max="1475" width="8" customWidth="1"/>
    <col min="1476" max="1476" width="5.85546875" customWidth="1"/>
    <col min="1477" max="1477" width="8.85546875" customWidth="1"/>
    <col min="1478" max="1479" width="8" customWidth="1"/>
    <col min="1480" max="1480" width="5.85546875" customWidth="1"/>
    <col min="1481" max="1481" width="6.42578125" customWidth="1"/>
    <col min="1482" max="1482" width="0" hidden="1" customWidth="1"/>
    <col min="1483" max="1483" width="12.42578125" customWidth="1"/>
    <col min="1700" max="1700" width="4.5703125" customWidth="1"/>
    <col min="1701" max="1701" width="30.140625" customWidth="1"/>
    <col min="1702" max="1702" width="0" hidden="1" customWidth="1"/>
    <col min="1703" max="1703" width="8.28515625" customWidth="1"/>
    <col min="1704" max="1704" width="10.140625" customWidth="1"/>
    <col min="1705" max="1705" width="8.85546875" customWidth="1"/>
    <col min="1706" max="1707" width="0" hidden="1" customWidth="1"/>
    <col min="1708" max="1708" width="10.140625" customWidth="1"/>
    <col min="1709" max="1709" width="0" hidden="1" customWidth="1"/>
    <col min="1710" max="1710" width="7.28515625" customWidth="1"/>
    <col min="1711" max="1712" width="0" hidden="1" customWidth="1"/>
    <col min="1713" max="1713" width="12" customWidth="1"/>
    <col min="1714" max="1717" width="0" hidden="1" customWidth="1"/>
    <col min="1718" max="1718" width="10.28515625" customWidth="1"/>
    <col min="1719" max="1719" width="12.28515625" customWidth="1"/>
    <col min="1721" max="1721" width="17.140625" customWidth="1"/>
    <col min="1722" max="1722" width="6.42578125" customWidth="1"/>
    <col min="1723" max="1723" width="10" customWidth="1"/>
    <col min="1724" max="1724" width="6.28515625" customWidth="1"/>
    <col min="1725" max="1725" width="9.42578125" customWidth="1"/>
    <col min="1726" max="1726" width="5.7109375" customWidth="1"/>
    <col min="1727" max="1727" width="9" customWidth="1"/>
    <col min="1728" max="1728" width="5.7109375" customWidth="1"/>
    <col min="1729" max="1729" width="8.28515625" customWidth="1"/>
    <col min="1730" max="1730" width="5.5703125" customWidth="1"/>
    <col min="1731" max="1731" width="8" customWidth="1"/>
    <col min="1732" max="1732" width="5.85546875" customWidth="1"/>
    <col min="1733" max="1733" width="8.85546875" customWidth="1"/>
    <col min="1734" max="1735" width="8" customWidth="1"/>
    <col min="1736" max="1736" width="5.85546875" customWidth="1"/>
    <col min="1737" max="1737" width="6.42578125" customWidth="1"/>
    <col min="1738" max="1738" width="0" hidden="1" customWidth="1"/>
    <col min="1739" max="1739" width="12.42578125" customWidth="1"/>
    <col min="1956" max="1956" width="4.5703125" customWidth="1"/>
    <col min="1957" max="1957" width="30.140625" customWidth="1"/>
    <col min="1958" max="1958" width="0" hidden="1" customWidth="1"/>
    <col min="1959" max="1959" width="8.28515625" customWidth="1"/>
    <col min="1960" max="1960" width="10.140625" customWidth="1"/>
    <col min="1961" max="1961" width="8.85546875" customWidth="1"/>
    <col min="1962" max="1963" width="0" hidden="1" customWidth="1"/>
    <col min="1964" max="1964" width="10.140625" customWidth="1"/>
    <col min="1965" max="1965" width="0" hidden="1" customWidth="1"/>
    <col min="1966" max="1966" width="7.28515625" customWidth="1"/>
    <col min="1967" max="1968" width="0" hidden="1" customWidth="1"/>
    <col min="1969" max="1969" width="12" customWidth="1"/>
    <col min="1970" max="1973" width="0" hidden="1" customWidth="1"/>
    <col min="1974" max="1974" width="10.28515625" customWidth="1"/>
    <col min="1975" max="1975" width="12.28515625" customWidth="1"/>
    <col min="1977" max="1977" width="17.140625" customWidth="1"/>
    <col min="1978" max="1978" width="6.42578125" customWidth="1"/>
    <col min="1979" max="1979" width="10" customWidth="1"/>
    <col min="1980" max="1980" width="6.28515625" customWidth="1"/>
    <col min="1981" max="1981" width="9.42578125" customWidth="1"/>
    <col min="1982" max="1982" width="5.7109375" customWidth="1"/>
    <col min="1983" max="1983" width="9" customWidth="1"/>
    <col min="1984" max="1984" width="5.7109375" customWidth="1"/>
    <col min="1985" max="1985" width="8.28515625" customWidth="1"/>
    <col min="1986" max="1986" width="5.5703125" customWidth="1"/>
    <col min="1987" max="1987" width="8" customWidth="1"/>
    <col min="1988" max="1988" width="5.85546875" customWidth="1"/>
    <col min="1989" max="1989" width="8.85546875" customWidth="1"/>
    <col min="1990" max="1991" width="8" customWidth="1"/>
    <col min="1992" max="1992" width="5.85546875" customWidth="1"/>
    <col min="1993" max="1993" width="6.42578125" customWidth="1"/>
    <col min="1994" max="1994" width="0" hidden="1" customWidth="1"/>
    <col min="1995" max="1995" width="12.42578125" customWidth="1"/>
    <col min="2212" max="2212" width="4.5703125" customWidth="1"/>
    <col min="2213" max="2213" width="30.140625" customWidth="1"/>
    <col min="2214" max="2214" width="0" hidden="1" customWidth="1"/>
    <col min="2215" max="2215" width="8.28515625" customWidth="1"/>
    <col min="2216" max="2216" width="10.140625" customWidth="1"/>
    <col min="2217" max="2217" width="8.85546875" customWidth="1"/>
    <col min="2218" max="2219" width="0" hidden="1" customWidth="1"/>
    <col min="2220" max="2220" width="10.140625" customWidth="1"/>
    <col min="2221" max="2221" width="0" hidden="1" customWidth="1"/>
    <col min="2222" max="2222" width="7.28515625" customWidth="1"/>
    <col min="2223" max="2224" width="0" hidden="1" customWidth="1"/>
    <col min="2225" max="2225" width="12" customWidth="1"/>
    <col min="2226" max="2229" width="0" hidden="1" customWidth="1"/>
    <col min="2230" max="2230" width="10.28515625" customWidth="1"/>
    <col min="2231" max="2231" width="12.28515625" customWidth="1"/>
    <col min="2233" max="2233" width="17.140625" customWidth="1"/>
    <col min="2234" max="2234" width="6.42578125" customWidth="1"/>
    <col min="2235" max="2235" width="10" customWidth="1"/>
    <col min="2236" max="2236" width="6.28515625" customWidth="1"/>
    <col min="2237" max="2237" width="9.42578125" customWidth="1"/>
    <col min="2238" max="2238" width="5.7109375" customWidth="1"/>
    <col min="2239" max="2239" width="9" customWidth="1"/>
    <col min="2240" max="2240" width="5.7109375" customWidth="1"/>
    <col min="2241" max="2241" width="8.28515625" customWidth="1"/>
    <col min="2242" max="2242" width="5.5703125" customWidth="1"/>
    <col min="2243" max="2243" width="8" customWidth="1"/>
    <col min="2244" max="2244" width="5.85546875" customWidth="1"/>
    <col min="2245" max="2245" width="8.85546875" customWidth="1"/>
    <col min="2246" max="2247" width="8" customWidth="1"/>
    <col min="2248" max="2248" width="5.85546875" customWidth="1"/>
    <col min="2249" max="2249" width="6.42578125" customWidth="1"/>
    <col min="2250" max="2250" width="0" hidden="1" customWidth="1"/>
    <col min="2251" max="2251" width="12.42578125" customWidth="1"/>
    <col min="2468" max="2468" width="4.5703125" customWidth="1"/>
    <col min="2469" max="2469" width="30.140625" customWidth="1"/>
    <col min="2470" max="2470" width="0" hidden="1" customWidth="1"/>
    <col min="2471" max="2471" width="8.28515625" customWidth="1"/>
    <col min="2472" max="2472" width="10.140625" customWidth="1"/>
    <col min="2473" max="2473" width="8.85546875" customWidth="1"/>
    <col min="2474" max="2475" width="0" hidden="1" customWidth="1"/>
    <col min="2476" max="2476" width="10.140625" customWidth="1"/>
    <col min="2477" max="2477" width="0" hidden="1" customWidth="1"/>
    <col min="2478" max="2478" width="7.28515625" customWidth="1"/>
    <col min="2479" max="2480" width="0" hidden="1" customWidth="1"/>
    <col min="2481" max="2481" width="12" customWidth="1"/>
    <col min="2482" max="2485" width="0" hidden="1" customWidth="1"/>
    <col min="2486" max="2486" width="10.28515625" customWidth="1"/>
    <col min="2487" max="2487" width="12.28515625" customWidth="1"/>
    <col min="2489" max="2489" width="17.140625" customWidth="1"/>
    <col min="2490" max="2490" width="6.42578125" customWidth="1"/>
    <col min="2491" max="2491" width="10" customWidth="1"/>
    <col min="2492" max="2492" width="6.28515625" customWidth="1"/>
    <col min="2493" max="2493" width="9.42578125" customWidth="1"/>
    <col min="2494" max="2494" width="5.7109375" customWidth="1"/>
    <col min="2495" max="2495" width="9" customWidth="1"/>
    <col min="2496" max="2496" width="5.7109375" customWidth="1"/>
    <col min="2497" max="2497" width="8.28515625" customWidth="1"/>
    <col min="2498" max="2498" width="5.5703125" customWidth="1"/>
    <col min="2499" max="2499" width="8" customWidth="1"/>
    <col min="2500" max="2500" width="5.85546875" customWidth="1"/>
    <col min="2501" max="2501" width="8.85546875" customWidth="1"/>
    <col min="2502" max="2503" width="8" customWidth="1"/>
    <col min="2504" max="2504" width="5.85546875" customWidth="1"/>
    <col min="2505" max="2505" width="6.42578125" customWidth="1"/>
    <col min="2506" max="2506" width="0" hidden="1" customWidth="1"/>
    <col min="2507" max="2507" width="12.42578125" customWidth="1"/>
    <col min="2724" max="2724" width="4.5703125" customWidth="1"/>
    <col min="2725" max="2725" width="30.140625" customWidth="1"/>
    <col min="2726" max="2726" width="0" hidden="1" customWidth="1"/>
    <col min="2727" max="2727" width="8.28515625" customWidth="1"/>
    <col min="2728" max="2728" width="10.140625" customWidth="1"/>
    <col min="2729" max="2729" width="8.85546875" customWidth="1"/>
    <col min="2730" max="2731" width="0" hidden="1" customWidth="1"/>
    <col min="2732" max="2732" width="10.140625" customWidth="1"/>
    <col min="2733" max="2733" width="0" hidden="1" customWidth="1"/>
    <col min="2734" max="2734" width="7.28515625" customWidth="1"/>
    <col min="2735" max="2736" width="0" hidden="1" customWidth="1"/>
    <col min="2737" max="2737" width="12" customWidth="1"/>
    <col min="2738" max="2741" width="0" hidden="1" customWidth="1"/>
    <col min="2742" max="2742" width="10.28515625" customWidth="1"/>
    <col min="2743" max="2743" width="12.28515625" customWidth="1"/>
    <col min="2745" max="2745" width="17.140625" customWidth="1"/>
    <col min="2746" max="2746" width="6.42578125" customWidth="1"/>
    <col min="2747" max="2747" width="10" customWidth="1"/>
    <col min="2748" max="2748" width="6.28515625" customWidth="1"/>
    <col min="2749" max="2749" width="9.42578125" customWidth="1"/>
    <col min="2750" max="2750" width="5.7109375" customWidth="1"/>
    <col min="2751" max="2751" width="9" customWidth="1"/>
    <col min="2752" max="2752" width="5.7109375" customWidth="1"/>
    <col min="2753" max="2753" width="8.28515625" customWidth="1"/>
    <col min="2754" max="2754" width="5.5703125" customWidth="1"/>
    <col min="2755" max="2755" width="8" customWidth="1"/>
    <col min="2756" max="2756" width="5.85546875" customWidth="1"/>
    <col min="2757" max="2757" width="8.85546875" customWidth="1"/>
    <col min="2758" max="2759" width="8" customWidth="1"/>
    <col min="2760" max="2760" width="5.85546875" customWidth="1"/>
    <col min="2761" max="2761" width="6.42578125" customWidth="1"/>
    <col min="2762" max="2762" width="0" hidden="1" customWidth="1"/>
    <col min="2763" max="2763" width="12.42578125" customWidth="1"/>
    <col min="2980" max="2980" width="4.5703125" customWidth="1"/>
    <col min="2981" max="2981" width="30.140625" customWidth="1"/>
    <col min="2982" max="2982" width="0" hidden="1" customWidth="1"/>
    <col min="2983" max="2983" width="8.28515625" customWidth="1"/>
    <col min="2984" max="2984" width="10.140625" customWidth="1"/>
    <col min="2985" max="2985" width="8.85546875" customWidth="1"/>
    <col min="2986" max="2987" width="0" hidden="1" customWidth="1"/>
    <col min="2988" max="2988" width="10.140625" customWidth="1"/>
    <col min="2989" max="2989" width="0" hidden="1" customWidth="1"/>
    <col min="2990" max="2990" width="7.28515625" customWidth="1"/>
    <col min="2991" max="2992" width="0" hidden="1" customWidth="1"/>
    <col min="2993" max="2993" width="12" customWidth="1"/>
    <col min="2994" max="2997" width="0" hidden="1" customWidth="1"/>
    <col min="2998" max="2998" width="10.28515625" customWidth="1"/>
    <col min="2999" max="2999" width="12.28515625" customWidth="1"/>
    <col min="3001" max="3001" width="17.140625" customWidth="1"/>
    <col min="3002" max="3002" width="6.42578125" customWidth="1"/>
    <col min="3003" max="3003" width="10" customWidth="1"/>
    <col min="3004" max="3004" width="6.28515625" customWidth="1"/>
    <col min="3005" max="3005" width="9.42578125" customWidth="1"/>
    <col min="3006" max="3006" width="5.7109375" customWidth="1"/>
    <col min="3007" max="3007" width="9" customWidth="1"/>
    <col min="3008" max="3008" width="5.7109375" customWidth="1"/>
    <col min="3009" max="3009" width="8.28515625" customWidth="1"/>
    <col min="3010" max="3010" width="5.5703125" customWidth="1"/>
    <col min="3011" max="3011" width="8" customWidth="1"/>
    <col min="3012" max="3012" width="5.85546875" customWidth="1"/>
    <col min="3013" max="3013" width="8.85546875" customWidth="1"/>
    <col min="3014" max="3015" width="8" customWidth="1"/>
    <col min="3016" max="3016" width="5.85546875" customWidth="1"/>
    <col min="3017" max="3017" width="6.42578125" customWidth="1"/>
    <col min="3018" max="3018" width="0" hidden="1" customWidth="1"/>
    <col min="3019" max="3019" width="12.42578125" customWidth="1"/>
    <col min="3236" max="3236" width="4.5703125" customWidth="1"/>
    <col min="3237" max="3237" width="30.140625" customWidth="1"/>
    <col min="3238" max="3238" width="0" hidden="1" customWidth="1"/>
    <col min="3239" max="3239" width="8.28515625" customWidth="1"/>
    <col min="3240" max="3240" width="10.140625" customWidth="1"/>
    <col min="3241" max="3241" width="8.85546875" customWidth="1"/>
    <col min="3242" max="3243" width="0" hidden="1" customWidth="1"/>
    <col min="3244" max="3244" width="10.140625" customWidth="1"/>
    <col min="3245" max="3245" width="0" hidden="1" customWidth="1"/>
    <col min="3246" max="3246" width="7.28515625" customWidth="1"/>
    <col min="3247" max="3248" width="0" hidden="1" customWidth="1"/>
    <col min="3249" max="3249" width="12" customWidth="1"/>
    <col min="3250" max="3253" width="0" hidden="1" customWidth="1"/>
    <col min="3254" max="3254" width="10.28515625" customWidth="1"/>
    <col min="3255" max="3255" width="12.28515625" customWidth="1"/>
    <col min="3257" max="3257" width="17.140625" customWidth="1"/>
    <col min="3258" max="3258" width="6.42578125" customWidth="1"/>
    <col min="3259" max="3259" width="10" customWidth="1"/>
    <col min="3260" max="3260" width="6.28515625" customWidth="1"/>
    <col min="3261" max="3261" width="9.42578125" customWidth="1"/>
    <col min="3262" max="3262" width="5.7109375" customWidth="1"/>
    <col min="3263" max="3263" width="9" customWidth="1"/>
    <col min="3264" max="3264" width="5.7109375" customWidth="1"/>
    <col min="3265" max="3265" width="8.28515625" customWidth="1"/>
    <col min="3266" max="3266" width="5.5703125" customWidth="1"/>
    <col min="3267" max="3267" width="8" customWidth="1"/>
    <col min="3268" max="3268" width="5.85546875" customWidth="1"/>
    <col min="3269" max="3269" width="8.85546875" customWidth="1"/>
    <col min="3270" max="3271" width="8" customWidth="1"/>
    <col min="3272" max="3272" width="5.85546875" customWidth="1"/>
    <col min="3273" max="3273" width="6.42578125" customWidth="1"/>
    <col min="3274" max="3274" width="0" hidden="1" customWidth="1"/>
    <col min="3275" max="3275" width="12.42578125" customWidth="1"/>
    <col min="3492" max="3492" width="4.5703125" customWidth="1"/>
    <col min="3493" max="3493" width="30.140625" customWidth="1"/>
    <col min="3494" max="3494" width="0" hidden="1" customWidth="1"/>
    <col min="3495" max="3495" width="8.28515625" customWidth="1"/>
    <col min="3496" max="3496" width="10.140625" customWidth="1"/>
    <col min="3497" max="3497" width="8.85546875" customWidth="1"/>
    <col min="3498" max="3499" width="0" hidden="1" customWidth="1"/>
    <col min="3500" max="3500" width="10.140625" customWidth="1"/>
    <col min="3501" max="3501" width="0" hidden="1" customWidth="1"/>
    <col min="3502" max="3502" width="7.28515625" customWidth="1"/>
    <col min="3503" max="3504" width="0" hidden="1" customWidth="1"/>
    <col min="3505" max="3505" width="12" customWidth="1"/>
    <col min="3506" max="3509" width="0" hidden="1" customWidth="1"/>
    <col min="3510" max="3510" width="10.28515625" customWidth="1"/>
    <col min="3511" max="3511" width="12.28515625" customWidth="1"/>
    <col min="3513" max="3513" width="17.140625" customWidth="1"/>
    <col min="3514" max="3514" width="6.42578125" customWidth="1"/>
    <col min="3515" max="3515" width="10" customWidth="1"/>
    <col min="3516" max="3516" width="6.28515625" customWidth="1"/>
    <col min="3517" max="3517" width="9.42578125" customWidth="1"/>
    <col min="3518" max="3518" width="5.7109375" customWidth="1"/>
    <col min="3519" max="3519" width="9" customWidth="1"/>
    <col min="3520" max="3520" width="5.7109375" customWidth="1"/>
    <col min="3521" max="3521" width="8.28515625" customWidth="1"/>
    <col min="3522" max="3522" width="5.5703125" customWidth="1"/>
    <col min="3523" max="3523" width="8" customWidth="1"/>
    <col min="3524" max="3524" width="5.85546875" customWidth="1"/>
    <col min="3525" max="3525" width="8.85546875" customWidth="1"/>
    <col min="3526" max="3527" width="8" customWidth="1"/>
    <col min="3528" max="3528" width="5.85546875" customWidth="1"/>
    <col min="3529" max="3529" width="6.42578125" customWidth="1"/>
    <col min="3530" max="3530" width="0" hidden="1" customWidth="1"/>
    <col min="3531" max="3531" width="12.42578125" customWidth="1"/>
    <col min="3748" max="3748" width="4.5703125" customWidth="1"/>
    <col min="3749" max="3749" width="30.140625" customWidth="1"/>
    <col min="3750" max="3750" width="0" hidden="1" customWidth="1"/>
    <col min="3751" max="3751" width="8.28515625" customWidth="1"/>
    <col min="3752" max="3752" width="10.140625" customWidth="1"/>
    <col min="3753" max="3753" width="8.85546875" customWidth="1"/>
    <col min="3754" max="3755" width="0" hidden="1" customWidth="1"/>
    <col min="3756" max="3756" width="10.140625" customWidth="1"/>
    <col min="3757" max="3757" width="0" hidden="1" customWidth="1"/>
    <col min="3758" max="3758" width="7.28515625" customWidth="1"/>
    <col min="3759" max="3760" width="0" hidden="1" customWidth="1"/>
    <col min="3761" max="3761" width="12" customWidth="1"/>
    <col min="3762" max="3765" width="0" hidden="1" customWidth="1"/>
    <col min="3766" max="3766" width="10.28515625" customWidth="1"/>
    <col min="3767" max="3767" width="12.28515625" customWidth="1"/>
    <col min="3769" max="3769" width="17.140625" customWidth="1"/>
    <col min="3770" max="3770" width="6.42578125" customWidth="1"/>
    <col min="3771" max="3771" width="10" customWidth="1"/>
    <col min="3772" max="3772" width="6.28515625" customWidth="1"/>
    <col min="3773" max="3773" width="9.42578125" customWidth="1"/>
    <col min="3774" max="3774" width="5.7109375" customWidth="1"/>
    <col min="3775" max="3775" width="9" customWidth="1"/>
    <col min="3776" max="3776" width="5.7109375" customWidth="1"/>
    <col min="3777" max="3777" width="8.28515625" customWidth="1"/>
    <col min="3778" max="3778" width="5.5703125" customWidth="1"/>
    <col min="3779" max="3779" width="8" customWidth="1"/>
    <col min="3780" max="3780" width="5.85546875" customWidth="1"/>
    <col min="3781" max="3781" width="8.85546875" customWidth="1"/>
    <col min="3782" max="3783" width="8" customWidth="1"/>
    <col min="3784" max="3784" width="5.85546875" customWidth="1"/>
    <col min="3785" max="3785" width="6.42578125" customWidth="1"/>
    <col min="3786" max="3786" width="0" hidden="1" customWidth="1"/>
    <col min="3787" max="3787" width="12.42578125" customWidth="1"/>
    <col min="4004" max="4004" width="4.5703125" customWidth="1"/>
    <col min="4005" max="4005" width="30.140625" customWidth="1"/>
    <col min="4006" max="4006" width="0" hidden="1" customWidth="1"/>
    <col min="4007" max="4007" width="8.28515625" customWidth="1"/>
    <col min="4008" max="4008" width="10.140625" customWidth="1"/>
    <col min="4009" max="4009" width="8.85546875" customWidth="1"/>
    <col min="4010" max="4011" width="0" hidden="1" customWidth="1"/>
    <col min="4012" max="4012" width="10.140625" customWidth="1"/>
    <col min="4013" max="4013" width="0" hidden="1" customWidth="1"/>
    <col min="4014" max="4014" width="7.28515625" customWidth="1"/>
    <col min="4015" max="4016" width="0" hidden="1" customWidth="1"/>
    <col min="4017" max="4017" width="12" customWidth="1"/>
    <col min="4018" max="4021" width="0" hidden="1" customWidth="1"/>
    <col min="4022" max="4022" width="10.28515625" customWidth="1"/>
    <col min="4023" max="4023" width="12.28515625" customWidth="1"/>
    <col min="4025" max="4025" width="17.140625" customWidth="1"/>
    <col min="4026" max="4026" width="6.42578125" customWidth="1"/>
    <col min="4027" max="4027" width="10" customWidth="1"/>
    <col min="4028" max="4028" width="6.28515625" customWidth="1"/>
    <col min="4029" max="4029" width="9.42578125" customWidth="1"/>
    <col min="4030" max="4030" width="5.7109375" customWidth="1"/>
    <col min="4031" max="4031" width="9" customWidth="1"/>
    <col min="4032" max="4032" width="5.7109375" customWidth="1"/>
    <col min="4033" max="4033" width="8.28515625" customWidth="1"/>
    <col min="4034" max="4034" width="5.5703125" customWidth="1"/>
    <col min="4035" max="4035" width="8" customWidth="1"/>
    <col min="4036" max="4036" width="5.85546875" customWidth="1"/>
    <col min="4037" max="4037" width="8.85546875" customWidth="1"/>
    <col min="4038" max="4039" width="8" customWidth="1"/>
    <col min="4040" max="4040" width="5.85546875" customWidth="1"/>
    <col min="4041" max="4041" width="6.42578125" customWidth="1"/>
    <col min="4042" max="4042" width="0" hidden="1" customWidth="1"/>
    <col min="4043" max="4043" width="12.42578125" customWidth="1"/>
    <col min="4260" max="4260" width="4.5703125" customWidth="1"/>
    <col min="4261" max="4261" width="30.140625" customWidth="1"/>
    <col min="4262" max="4262" width="0" hidden="1" customWidth="1"/>
    <col min="4263" max="4263" width="8.28515625" customWidth="1"/>
    <col min="4264" max="4264" width="10.140625" customWidth="1"/>
    <col min="4265" max="4265" width="8.85546875" customWidth="1"/>
    <col min="4266" max="4267" width="0" hidden="1" customWidth="1"/>
    <col min="4268" max="4268" width="10.140625" customWidth="1"/>
    <col min="4269" max="4269" width="0" hidden="1" customWidth="1"/>
    <col min="4270" max="4270" width="7.28515625" customWidth="1"/>
    <col min="4271" max="4272" width="0" hidden="1" customWidth="1"/>
    <col min="4273" max="4273" width="12" customWidth="1"/>
    <col min="4274" max="4277" width="0" hidden="1" customWidth="1"/>
    <col min="4278" max="4278" width="10.28515625" customWidth="1"/>
    <col min="4279" max="4279" width="12.28515625" customWidth="1"/>
    <col min="4281" max="4281" width="17.140625" customWidth="1"/>
    <col min="4282" max="4282" width="6.42578125" customWidth="1"/>
    <col min="4283" max="4283" width="10" customWidth="1"/>
    <col min="4284" max="4284" width="6.28515625" customWidth="1"/>
    <col min="4285" max="4285" width="9.42578125" customWidth="1"/>
    <col min="4286" max="4286" width="5.7109375" customWidth="1"/>
    <col min="4287" max="4287" width="9" customWidth="1"/>
    <col min="4288" max="4288" width="5.7109375" customWidth="1"/>
    <col min="4289" max="4289" width="8.28515625" customWidth="1"/>
    <col min="4290" max="4290" width="5.5703125" customWidth="1"/>
    <col min="4291" max="4291" width="8" customWidth="1"/>
    <col min="4292" max="4292" width="5.85546875" customWidth="1"/>
    <col min="4293" max="4293" width="8.85546875" customWidth="1"/>
    <col min="4294" max="4295" width="8" customWidth="1"/>
    <col min="4296" max="4296" width="5.85546875" customWidth="1"/>
    <col min="4297" max="4297" width="6.42578125" customWidth="1"/>
    <col min="4298" max="4298" width="0" hidden="1" customWidth="1"/>
    <col min="4299" max="4299" width="12.42578125" customWidth="1"/>
    <col min="4516" max="4516" width="4.5703125" customWidth="1"/>
    <col min="4517" max="4517" width="30.140625" customWidth="1"/>
    <col min="4518" max="4518" width="0" hidden="1" customWidth="1"/>
    <col min="4519" max="4519" width="8.28515625" customWidth="1"/>
    <col min="4520" max="4520" width="10.140625" customWidth="1"/>
    <col min="4521" max="4521" width="8.85546875" customWidth="1"/>
    <col min="4522" max="4523" width="0" hidden="1" customWidth="1"/>
    <col min="4524" max="4524" width="10.140625" customWidth="1"/>
    <col min="4525" max="4525" width="0" hidden="1" customWidth="1"/>
    <col min="4526" max="4526" width="7.28515625" customWidth="1"/>
    <col min="4527" max="4528" width="0" hidden="1" customWidth="1"/>
    <col min="4529" max="4529" width="12" customWidth="1"/>
    <col min="4530" max="4533" width="0" hidden="1" customWidth="1"/>
    <col min="4534" max="4534" width="10.28515625" customWidth="1"/>
    <col min="4535" max="4535" width="12.28515625" customWidth="1"/>
    <col min="4537" max="4537" width="17.140625" customWidth="1"/>
    <col min="4538" max="4538" width="6.42578125" customWidth="1"/>
    <col min="4539" max="4539" width="10" customWidth="1"/>
    <col min="4540" max="4540" width="6.28515625" customWidth="1"/>
    <col min="4541" max="4541" width="9.42578125" customWidth="1"/>
    <col min="4542" max="4542" width="5.7109375" customWidth="1"/>
    <col min="4543" max="4543" width="9" customWidth="1"/>
    <col min="4544" max="4544" width="5.7109375" customWidth="1"/>
    <col min="4545" max="4545" width="8.28515625" customWidth="1"/>
    <col min="4546" max="4546" width="5.5703125" customWidth="1"/>
    <col min="4547" max="4547" width="8" customWidth="1"/>
    <col min="4548" max="4548" width="5.85546875" customWidth="1"/>
    <col min="4549" max="4549" width="8.85546875" customWidth="1"/>
    <col min="4550" max="4551" width="8" customWidth="1"/>
    <col min="4552" max="4552" width="5.85546875" customWidth="1"/>
    <col min="4553" max="4553" width="6.42578125" customWidth="1"/>
    <col min="4554" max="4554" width="0" hidden="1" customWidth="1"/>
    <col min="4555" max="4555" width="12.42578125" customWidth="1"/>
    <col min="4772" max="4772" width="4.5703125" customWidth="1"/>
    <col min="4773" max="4773" width="30.140625" customWidth="1"/>
    <col min="4774" max="4774" width="0" hidden="1" customWidth="1"/>
    <col min="4775" max="4775" width="8.28515625" customWidth="1"/>
    <col min="4776" max="4776" width="10.140625" customWidth="1"/>
    <col min="4777" max="4777" width="8.85546875" customWidth="1"/>
    <col min="4778" max="4779" width="0" hidden="1" customWidth="1"/>
    <col min="4780" max="4780" width="10.140625" customWidth="1"/>
    <col min="4781" max="4781" width="0" hidden="1" customWidth="1"/>
    <col min="4782" max="4782" width="7.28515625" customWidth="1"/>
    <col min="4783" max="4784" width="0" hidden="1" customWidth="1"/>
    <col min="4785" max="4785" width="12" customWidth="1"/>
    <col min="4786" max="4789" width="0" hidden="1" customWidth="1"/>
    <col min="4790" max="4790" width="10.28515625" customWidth="1"/>
    <col min="4791" max="4791" width="12.28515625" customWidth="1"/>
    <col min="4793" max="4793" width="17.140625" customWidth="1"/>
    <col min="4794" max="4794" width="6.42578125" customWidth="1"/>
    <col min="4795" max="4795" width="10" customWidth="1"/>
    <col min="4796" max="4796" width="6.28515625" customWidth="1"/>
    <col min="4797" max="4797" width="9.42578125" customWidth="1"/>
    <col min="4798" max="4798" width="5.7109375" customWidth="1"/>
    <col min="4799" max="4799" width="9" customWidth="1"/>
    <col min="4800" max="4800" width="5.7109375" customWidth="1"/>
    <col min="4801" max="4801" width="8.28515625" customWidth="1"/>
    <col min="4802" max="4802" width="5.5703125" customWidth="1"/>
    <col min="4803" max="4803" width="8" customWidth="1"/>
    <col min="4804" max="4804" width="5.85546875" customWidth="1"/>
    <col min="4805" max="4805" width="8.85546875" customWidth="1"/>
    <col min="4806" max="4807" width="8" customWidth="1"/>
    <col min="4808" max="4808" width="5.85546875" customWidth="1"/>
    <col min="4809" max="4809" width="6.42578125" customWidth="1"/>
    <col min="4810" max="4810" width="0" hidden="1" customWidth="1"/>
    <col min="4811" max="4811" width="12.42578125" customWidth="1"/>
    <col min="5028" max="5028" width="4.5703125" customWidth="1"/>
    <col min="5029" max="5029" width="30.140625" customWidth="1"/>
    <col min="5030" max="5030" width="0" hidden="1" customWidth="1"/>
    <col min="5031" max="5031" width="8.28515625" customWidth="1"/>
    <col min="5032" max="5032" width="10.140625" customWidth="1"/>
    <col min="5033" max="5033" width="8.85546875" customWidth="1"/>
    <col min="5034" max="5035" width="0" hidden="1" customWidth="1"/>
    <col min="5036" max="5036" width="10.140625" customWidth="1"/>
    <col min="5037" max="5037" width="0" hidden="1" customWidth="1"/>
    <col min="5038" max="5038" width="7.28515625" customWidth="1"/>
    <col min="5039" max="5040" width="0" hidden="1" customWidth="1"/>
    <col min="5041" max="5041" width="12" customWidth="1"/>
    <col min="5042" max="5045" width="0" hidden="1" customWidth="1"/>
    <col min="5046" max="5046" width="10.28515625" customWidth="1"/>
    <col min="5047" max="5047" width="12.28515625" customWidth="1"/>
    <col min="5049" max="5049" width="17.140625" customWidth="1"/>
    <col min="5050" max="5050" width="6.42578125" customWidth="1"/>
    <col min="5051" max="5051" width="10" customWidth="1"/>
    <col min="5052" max="5052" width="6.28515625" customWidth="1"/>
    <col min="5053" max="5053" width="9.42578125" customWidth="1"/>
    <col min="5054" max="5054" width="5.7109375" customWidth="1"/>
    <col min="5055" max="5055" width="9" customWidth="1"/>
    <col min="5056" max="5056" width="5.7109375" customWidth="1"/>
    <col min="5057" max="5057" width="8.28515625" customWidth="1"/>
    <col min="5058" max="5058" width="5.5703125" customWidth="1"/>
    <col min="5059" max="5059" width="8" customWidth="1"/>
    <col min="5060" max="5060" width="5.85546875" customWidth="1"/>
    <col min="5061" max="5061" width="8.85546875" customWidth="1"/>
    <col min="5062" max="5063" width="8" customWidth="1"/>
    <col min="5064" max="5064" width="5.85546875" customWidth="1"/>
    <col min="5065" max="5065" width="6.42578125" customWidth="1"/>
    <col min="5066" max="5066" width="0" hidden="1" customWidth="1"/>
    <col min="5067" max="5067" width="12.42578125" customWidth="1"/>
    <col min="5284" max="5284" width="4.5703125" customWidth="1"/>
    <col min="5285" max="5285" width="30.140625" customWidth="1"/>
    <col min="5286" max="5286" width="0" hidden="1" customWidth="1"/>
    <col min="5287" max="5287" width="8.28515625" customWidth="1"/>
    <col min="5288" max="5288" width="10.140625" customWidth="1"/>
    <col min="5289" max="5289" width="8.85546875" customWidth="1"/>
    <col min="5290" max="5291" width="0" hidden="1" customWidth="1"/>
    <col min="5292" max="5292" width="10.140625" customWidth="1"/>
    <col min="5293" max="5293" width="0" hidden="1" customWidth="1"/>
    <col min="5294" max="5294" width="7.28515625" customWidth="1"/>
    <col min="5295" max="5296" width="0" hidden="1" customWidth="1"/>
    <col min="5297" max="5297" width="12" customWidth="1"/>
    <col min="5298" max="5301" width="0" hidden="1" customWidth="1"/>
    <col min="5302" max="5302" width="10.28515625" customWidth="1"/>
    <col min="5303" max="5303" width="12.28515625" customWidth="1"/>
    <col min="5305" max="5305" width="17.140625" customWidth="1"/>
    <col min="5306" max="5306" width="6.42578125" customWidth="1"/>
    <col min="5307" max="5307" width="10" customWidth="1"/>
    <col min="5308" max="5308" width="6.28515625" customWidth="1"/>
    <col min="5309" max="5309" width="9.42578125" customWidth="1"/>
    <col min="5310" max="5310" width="5.7109375" customWidth="1"/>
    <col min="5311" max="5311" width="9" customWidth="1"/>
    <col min="5312" max="5312" width="5.7109375" customWidth="1"/>
    <col min="5313" max="5313" width="8.28515625" customWidth="1"/>
    <col min="5314" max="5314" width="5.5703125" customWidth="1"/>
    <col min="5315" max="5315" width="8" customWidth="1"/>
    <col min="5316" max="5316" width="5.85546875" customWidth="1"/>
    <col min="5317" max="5317" width="8.85546875" customWidth="1"/>
    <col min="5318" max="5319" width="8" customWidth="1"/>
    <col min="5320" max="5320" width="5.85546875" customWidth="1"/>
    <col min="5321" max="5321" width="6.42578125" customWidth="1"/>
    <col min="5322" max="5322" width="0" hidden="1" customWidth="1"/>
    <col min="5323" max="5323" width="12.42578125" customWidth="1"/>
    <col min="5540" max="5540" width="4.5703125" customWidth="1"/>
    <col min="5541" max="5541" width="30.140625" customWidth="1"/>
    <col min="5542" max="5542" width="0" hidden="1" customWidth="1"/>
    <col min="5543" max="5543" width="8.28515625" customWidth="1"/>
    <col min="5544" max="5544" width="10.140625" customWidth="1"/>
    <col min="5545" max="5545" width="8.85546875" customWidth="1"/>
    <col min="5546" max="5547" width="0" hidden="1" customWidth="1"/>
    <col min="5548" max="5548" width="10.140625" customWidth="1"/>
    <col min="5549" max="5549" width="0" hidden="1" customWidth="1"/>
    <col min="5550" max="5550" width="7.28515625" customWidth="1"/>
    <col min="5551" max="5552" width="0" hidden="1" customWidth="1"/>
    <col min="5553" max="5553" width="12" customWidth="1"/>
    <col min="5554" max="5557" width="0" hidden="1" customWidth="1"/>
    <col min="5558" max="5558" width="10.28515625" customWidth="1"/>
    <col min="5559" max="5559" width="12.28515625" customWidth="1"/>
    <col min="5561" max="5561" width="17.140625" customWidth="1"/>
    <col min="5562" max="5562" width="6.42578125" customWidth="1"/>
    <col min="5563" max="5563" width="10" customWidth="1"/>
    <col min="5564" max="5564" width="6.28515625" customWidth="1"/>
    <col min="5565" max="5565" width="9.42578125" customWidth="1"/>
    <col min="5566" max="5566" width="5.7109375" customWidth="1"/>
    <col min="5567" max="5567" width="9" customWidth="1"/>
    <col min="5568" max="5568" width="5.7109375" customWidth="1"/>
    <col min="5569" max="5569" width="8.28515625" customWidth="1"/>
    <col min="5570" max="5570" width="5.5703125" customWidth="1"/>
    <col min="5571" max="5571" width="8" customWidth="1"/>
    <col min="5572" max="5572" width="5.85546875" customWidth="1"/>
    <col min="5573" max="5573" width="8.85546875" customWidth="1"/>
    <col min="5574" max="5575" width="8" customWidth="1"/>
    <col min="5576" max="5576" width="5.85546875" customWidth="1"/>
    <col min="5577" max="5577" width="6.42578125" customWidth="1"/>
    <col min="5578" max="5578" width="0" hidden="1" customWidth="1"/>
    <col min="5579" max="5579" width="12.42578125" customWidth="1"/>
    <col min="5796" max="5796" width="4.5703125" customWidth="1"/>
    <col min="5797" max="5797" width="30.140625" customWidth="1"/>
    <col min="5798" max="5798" width="0" hidden="1" customWidth="1"/>
    <col min="5799" max="5799" width="8.28515625" customWidth="1"/>
    <col min="5800" max="5800" width="10.140625" customWidth="1"/>
    <col min="5801" max="5801" width="8.85546875" customWidth="1"/>
    <col min="5802" max="5803" width="0" hidden="1" customWidth="1"/>
    <col min="5804" max="5804" width="10.140625" customWidth="1"/>
    <col min="5805" max="5805" width="0" hidden="1" customWidth="1"/>
    <col min="5806" max="5806" width="7.28515625" customWidth="1"/>
    <col min="5807" max="5808" width="0" hidden="1" customWidth="1"/>
    <col min="5809" max="5809" width="12" customWidth="1"/>
    <col min="5810" max="5813" width="0" hidden="1" customWidth="1"/>
    <col min="5814" max="5814" width="10.28515625" customWidth="1"/>
    <col min="5815" max="5815" width="12.28515625" customWidth="1"/>
    <col min="5817" max="5817" width="17.140625" customWidth="1"/>
    <col min="5818" max="5818" width="6.42578125" customWidth="1"/>
    <col min="5819" max="5819" width="10" customWidth="1"/>
    <col min="5820" max="5820" width="6.28515625" customWidth="1"/>
    <col min="5821" max="5821" width="9.42578125" customWidth="1"/>
    <col min="5822" max="5822" width="5.7109375" customWidth="1"/>
    <col min="5823" max="5823" width="9" customWidth="1"/>
    <col min="5824" max="5824" width="5.7109375" customWidth="1"/>
    <col min="5825" max="5825" width="8.28515625" customWidth="1"/>
    <col min="5826" max="5826" width="5.5703125" customWidth="1"/>
    <col min="5827" max="5827" width="8" customWidth="1"/>
    <col min="5828" max="5828" width="5.85546875" customWidth="1"/>
    <col min="5829" max="5829" width="8.85546875" customWidth="1"/>
    <col min="5830" max="5831" width="8" customWidth="1"/>
    <col min="5832" max="5832" width="5.85546875" customWidth="1"/>
    <col min="5833" max="5833" width="6.42578125" customWidth="1"/>
    <col min="5834" max="5834" width="0" hidden="1" customWidth="1"/>
    <col min="5835" max="5835" width="12.42578125" customWidth="1"/>
    <col min="6052" max="6052" width="4.5703125" customWidth="1"/>
    <col min="6053" max="6053" width="30.140625" customWidth="1"/>
    <col min="6054" max="6054" width="0" hidden="1" customWidth="1"/>
    <col min="6055" max="6055" width="8.28515625" customWidth="1"/>
    <col min="6056" max="6056" width="10.140625" customWidth="1"/>
    <col min="6057" max="6057" width="8.85546875" customWidth="1"/>
    <col min="6058" max="6059" width="0" hidden="1" customWidth="1"/>
    <col min="6060" max="6060" width="10.140625" customWidth="1"/>
    <col min="6061" max="6061" width="0" hidden="1" customWidth="1"/>
    <col min="6062" max="6062" width="7.28515625" customWidth="1"/>
    <col min="6063" max="6064" width="0" hidden="1" customWidth="1"/>
    <col min="6065" max="6065" width="12" customWidth="1"/>
    <col min="6066" max="6069" width="0" hidden="1" customWidth="1"/>
    <col min="6070" max="6070" width="10.28515625" customWidth="1"/>
    <col min="6071" max="6071" width="12.28515625" customWidth="1"/>
    <col min="6073" max="6073" width="17.140625" customWidth="1"/>
    <col min="6074" max="6074" width="6.42578125" customWidth="1"/>
    <col min="6075" max="6075" width="10" customWidth="1"/>
    <col min="6076" max="6076" width="6.28515625" customWidth="1"/>
    <col min="6077" max="6077" width="9.42578125" customWidth="1"/>
    <col min="6078" max="6078" width="5.7109375" customWidth="1"/>
    <col min="6079" max="6079" width="9" customWidth="1"/>
    <col min="6080" max="6080" width="5.7109375" customWidth="1"/>
    <col min="6081" max="6081" width="8.28515625" customWidth="1"/>
    <col min="6082" max="6082" width="5.5703125" customWidth="1"/>
    <col min="6083" max="6083" width="8" customWidth="1"/>
    <col min="6084" max="6084" width="5.85546875" customWidth="1"/>
    <col min="6085" max="6085" width="8.85546875" customWidth="1"/>
    <col min="6086" max="6087" width="8" customWidth="1"/>
    <col min="6088" max="6088" width="5.85546875" customWidth="1"/>
    <col min="6089" max="6089" width="6.42578125" customWidth="1"/>
    <col min="6090" max="6090" width="0" hidden="1" customWidth="1"/>
    <col min="6091" max="6091" width="12.42578125" customWidth="1"/>
    <col min="6308" max="6308" width="4.5703125" customWidth="1"/>
    <col min="6309" max="6309" width="30.140625" customWidth="1"/>
    <col min="6310" max="6310" width="0" hidden="1" customWidth="1"/>
    <col min="6311" max="6311" width="8.28515625" customWidth="1"/>
    <col min="6312" max="6312" width="10.140625" customWidth="1"/>
    <col min="6313" max="6313" width="8.85546875" customWidth="1"/>
    <col min="6314" max="6315" width="0" hidden="1" customWidth="1"/>
    <col min="6316" max="6316" width="10.140625" customWidth="1"/>
    <col min="6317" max="6317" width="0" hidden="1" customWidth="1"/>
    <col min="6318" max="6318" width="7.28515625" customWidth="1"/>
    <col min="6319" max="6320" width="0" hidden="1" customWidth="1"/>
    <col min="6321" max="6321" width="12" customWidth="1"/>
    <col min="6322" max="6325" width="0" hidden="1" customWidth="1"/>
    <col min="6326" max="6326" width="10.28515625" customWidth="1"/>
    <col min="6327" max="6327" width="12.28515625" customWidth="1"/>
    <col min="6329" max="6329" width="17.140625" customWidth="1"/>
    <col min="6330" max="6330" width="6.42578125" customWidth="1"/>
    <col min="6331" max="6331" width="10" customWidth="1"/>
    <col min="6332" max="6332" width="6.28515625" customWidth="1"/>
    <col min="6333" max="6333" width="9.42578125" customWidth="1"/>
    <col min="6334" max="6334" width="5.7109375" customWidth="1"/>
    <col min="6335" max="6335" width="9" customWidth="1"/>
    <col min="6336" max="6336" width="5.7109375" customWidth="1"/>
    <col min="6337" max="6337" width="8.28515625" customWidth="1"/>
    <col min="6338" max="6338" width="5.5703125" customWidth="1"/>
    <col min="6339" max="6339" width="8" customWidth="1"/>
    <col min="6340" max="6340" width="5.85546875" customWidth="1"/>
    <col min="6341" max="6341" width="8.85546875" customWidth="1"/>
    <col min="6342" max="6343" width="8" customWidth="1"/>
    <col min="6344" max="6344" width="5.85546875" customWidth="1"/>
    <col min="6345" max="6345" width="6.42578125" customWidth="1"/>
    <col min="6346" max="6346" width="0" hidden="1" customWidth="1"/>
    <col min="6347" max="6347" width="12.42578125" customWidth="1"/>
    <col min="6564" max="6564" width="4.5703125" customWidth="1"/>
    <col min="6565" max="6565" width="30.140625" customWidth="1"/>
    <col min="6566" max="6566" width="0" hidden="1" customWidth="1"/>
    <col min="6567" max="6567" width="8.28515625" customWidth="1"/>
    <col min="6568" max="6568" width="10.140625" customWidth="1"/>
    <col min="6569" max="6569" width="8.85546875" customWidth="1"/>
    <col min="6570" max="6571" width="0" hidden="1" customWidth="1"/>
    <col min="6572" max="6572" width="10.140625" customWidth="1"/>
    <col min="6573" max="6573" width="0" hidden="1" customWidth="1"/>
    <col min="6574" max="6574" width="7.28515625" customWidth="1"/>
    <col min="6575" max="6576" width="0" hidden="1" customWidth="1"/>
    <col min="6577" max="6577" width="12" customWidth="1"/>
    <col min="6578" max="6581" width="0" hidden="1" customWidth="1"/>
    <col min="6582" max="6582" width="10.28515625" customWidth="1"/>
    <col min="6583" max="6583" width="12.28515625" customWidth="1"/>
    <col min="6585" max="6585" width="17.140625" customWidth="1"/>
    <col min="6586" max="6586" width="6.42578125" customWidth="1"/>
    <col min="6587" max="6587" width="10" customWidth="1"/>
    <col min="6588" max="6588" width="6.28515625" customWidth="1"/>
    <col min="6589" max="6589" width="9.42578125" customWidth="1"/>
    <col min="6590" max="6590" width="5.7109375" customWidth="1"/>
    <col min="6591" max="6591" width="9" customWidth="1"/>
    <col min="6592" max="6592" width="5.7109375" customWidth="1"/>
    <col min="6593" max="6593" width="8.28515625" customWidth="1"/>
    <col min="6594" max="6594" width="5.5703125" customWidth="1"/>
    <col min="6595" max="6595" width="8" customWidth="1"/>
    <col min="6596" max="6596" width="5.85546875" customWidth="1"/>
    <col min="6597" max="6597" width="8.85546875" customWidth="1"/>
    <col min="6598" max="6599" width="8" customWidth="1"/>
    <col min="6600" max="6600" width="5.85546875" customWidth="1"/>
    <col min="6601" max="6601" width="6.42578125" customWidth="1"/>
    <col min="6602" max="6602" width="0" hidden="1" customWidth="1"/>
    <col min="6603" max="6603" width="12.42578125" customWidth="1"/>
    <col min="6820" max="6820" width="4.5703125" customWidth="1"/>
    <col min="6821" max="6821" width="30.140625" customWidth="1"/>
    <col min="6822" max="6822" width="0" hidden="1" customWidth="1"/>
    <col min="6823" max="6823" width="8.28515625" customWidth="1"/>
    <col min="6824" max="6824" width="10.140625" customWidth="1"/>
    <col min="6825" max="6825" width="8.85546875" customWidth="1"/>
    <col min="6826" max="6827" width="0" hidden="1" customWidth="1"/>
    <col min="6828" max="6828" width="10.140625" customWidth="1"/>
    <col min="6829" max="6829" width="0" hidden="1" customWidth="1"/>
    <col min="6830" max="6830" width="7.28515625" customWidth="1"/>
    <col min="6831" max="6832" width="0" hidden="1" customWidth="1"/>
    <col min="6833" max="6833" width="12" customWidth="1"/>
    <col min="6834" max="6837" width="0" hidden="1" customWidth="1"/>
    <col min="6838" max="6838" width="10.28515625" customWidth="1"/>
    <col min="6839" max="6839" width="12.28515625" customWidth="1"/>
    <col min="6841" max="6841" width="17.140625" customWidth="1"/>
    <col min="6842" max="6842" width="6.42578125" customWidth="1"/>
    <col min="6843" max="6843" width="10" customWidth="1"/>
    <col min="6844" max="6844" width="6.28515625" customWidth="1"/>
    <col min="6845" max="6845" width="9.42578125" customWidth="1"/>
    <col min="6846" max="6846" width="5.7109375" customWidth="1"/>
    <col min="6847" max="6847" width="9" customWidth="1"/>
    <col min="6848" max="6848" width="5.7109375" customWidth="1"/>
    <col min="6849" max="6849" width="8.28515625" customWidth="1"/>
    <col min="6850" max="6850" width="5.5703125" customWidth="1"/>
    <col min="6851" max="6851" width="8" customWidth="1"/>
    <col min="6852" max="6852" width="5.85546875" customWidth="1"/>
    <col min="6853" max="6853" width="8.85546875" customWidth="1"/>
    <col min="6854" max="6855" width="8" customWidth="1"/>
    <col min="6856" max="6856" width="5.85546875" customWidth="1"/>
    <col min="6857" max="6857" width="6.42578125" customWidth="1"/>
    <col min="6858" max="6858" width="0" hidden="1" customWidth="1"/>
    <col min="6859" max="6859" width="12.42578125" customWidth="1"/>
    <col min="7076" max="7076" width="4.5703125" customWidth="1"/>
    <col min="7077" max="7077" width="30.140625" customWidth="1"/>
    <col min="7078" max="7078" width="0" hidden="1" customWidth="1"/>
    <col min="7079" max="7079" width="8.28515625" customWidth="1"/>
    <col min="7080" max="7080" width="10.140625" customWidth="1"/>
    <col min="7081" max="7081" width="8.85546875" customWidth="1"/>
    <col min="7082" max="7083" width="0" hidden="1" customWidth="1"/>
    <col min="7084" max="7084" width="10.140625" customWidth="1"/>
    <col min="7085" max="7085" width="0" hidden="1" customWidth="1"/>
    <col min="7086" max="7086" width="7.28515625" customWidth="1"/>
    <col min="7087" max="7088" width="0" hidden="1" customWidth="1"/>
    <col min="7089" max="7089" width="12" customWidth="1"/>
    <col min="7090" max="7093" width="0" hidden="1" customWidth="1"/>
    <col min="7094" max="7094" width="10.28515625" customWidth="1"/>
    <col min="7095" max="7095" width="12.28515625" customWidth="1"/>
    <col min="7097" max="7097" width="17.140625" customWidth="1"/>
    <col min="7098" max="7098" width="6.42578125" customWidth="1"/>
    <col min="7099" max="7099" width="10" customWidth="1"/>
    <col min="7100" max="7100" width="6.28515625" customWidth="1"/>
    <col min="7101" max="7101" width="9.42578125" customWidth="1"/>
    <col min="7102" max="7102" width="5.7109375" customWidth="1"/>
    <col min="7103" max="7103" width="9" customWidth="1"/>
    <col min="7104" max="7104" width="5.7109375" customWidth="1"/>
    <col min="7105" max="7105" width="8.28515625" customWidth="1"/>
    <col min="7106" max="7106" width="5.5703125" customWidth="1"/>
    <col min="7107" max="7107" width="8" customWidth="1"/>
    <col min="7108" max="7108" width="5.85546875" customWidth="1"/>
    <col min="7109" max="7109" width="8.85546875" customWidth="1"/>
    <col min="7110" max="7111" width="8" customWidth="1"/>
    <col min="7112" max="7112" width="5.85546875" customWidth="1"/>
    <col min="7113" max="7113" width="6.42578125" customWidth="1"/>
    <col min="7114" max="7114" width="0" hidden="1" customWidth="1"/>
    <col min="7115" max="7115" width="12.42578125" customWidth="1"/>
    <col min="7332" max="7332" width="4.5703125" customWidth="1"/>
    <col min="7333" max="7333" width="30.140625" customWidth="1"/>
    <col min="7334" max="7334" width="0" hidden="1" customWidth="1"/>
    <col min="7335" max="7335" width="8.28515625" customWidth="1"/>
    <col min="7336" max="7336" width="10.140625" customWidth="1"/>
    <col min="7337" max="7337" width="8.85546875" customWidth="1"/>
    <col min="7338" max="7339" width="0" hidden="1" customWidth="1"/>
    <col min="7340" max="7340" width="10.140625" customWidth="1"/>
    <col min="7341" max="7341" width="0" hidden="1" customWidth="1"/>
    <col min="7342" max="7342" width="7.28515625" customWidth="1"/>
    <col min="7343" max="7344" width="0" hidden="1" customWidth="1"/>
    <col min="7345" max="7345" width="12" customWidth="1"/>
    <col min="7346" max="7349" width="0" hidden="1" customWidth="1"/>
    <col min="7350" max="7350" width="10.28515625" customWidth="1"/>
    <col min="7351" max="7351" width="12.28515625" customWidth="1"/>
    <col min="7353" max="7353" width="17.140625" customWidth="1"/>
    <col min="7354" max="7354" width="6.42578125" customWidth="1"/>
    <col min="7355" max="7355" width="10" customWidth="1"/>
    <col min="7356" max="7356" width="6.28515625" customWidth="1"/>
    <col min="7357" max="7357" width="9.42578125" customWidth="1"/>
    <col min="7358" max="7358" width="5.7109375" customWidth="1"/>
    <col min="7359" max="7359" width="9" customWidth="1"/>
    <col min="7360" max="7360" width="5.7109375" customWidth="1"/>
    <col min="7361" max="7361" width="8.28515625" customWidth="1"/>
    <col min="7362" max="7362" width="5.5703125" customWidth="1"/>
    <col min="7363" max="7363" width="8" customWidth="1"/>
    <col min="7364" max="7364" width="5.85546875" customWidth="1"/>
    <col min="7365" max="7365" width="8.85546875" customWidth="1"/>
    <col min="7366" max="7367" width="8" customWidth="1"/>
    <col min="7368" max="7368" width="5.85546875" customWidth="1"/>
    <col min="7369" max="7369" width="6.42578125" customWidth="1"/>
    <col min="7370" max="7370" width="0" hidden="1" customWidth="1"/>
    <col min="7371" max="7371" width="12.42578125" customWidth="1"/>
    <col min="7588" max="7588" width="4.5703125" customWidth="1"/>
    <col min="7589" max="7589" width="30.140625" customWidth="1"/>
    <col min="7590" max="7590" width="0" hidden="1" customWidth="1"/>
    <col min="7591" max="7591" width="8.28515625" customWidth="1"/>
    <col min="7592" max="7592" width="10.140625" customWidth="1"/>
    <col min="7593" max="7593" width="8.85546875" customWidth="1"/>
    <col min="7594" max="7595" width="0" hidden="1" customWidth="1"/>
    <col min="7596" max="7596" width="10.140625" customWidth="1"/>
    <col min="7597" max="7597" width="0" hidden="1" customWidth="1"/>
    <col min="7598" max="7598" width="7.28515625" customWidth="1"/>
    <col min="7599" max="7600" width="0" hidden="1" customWidth="1"/>
    <col min="7601" max="7601" width="12" customWidth="1"/>
    <col min="7602" max="7605" width="0" hidden="1" customWidth="1"/>
    <col min="7606" max="7606" width="10.28515625" customWidth="1"/>
    <col min="7607" max="7607" width="12.28515625" customWidth="1"/>
    <col min="7609" max="7609" width="17.140625" customWidth="1"/>
    <col min="7610" max="7610" width="6.42578125" customWidth="1"/>
    <col min="7611" max="7611" width="10" customWidth="1"/>
    <col min="7612" max="7612" width="6.28515625" customWidth="1"/>
    <col min="7613" max="7613" width="9.42578125" customWidth="1"/>
    <col min="7614" max="7614" width="5.7109375" customWidth="1"/>
    <col min="7615" max="7615" width="9" customWidth="1"/>
    <col min="7616" max="7616" width="5.7109375" customWidth="1"/>
    <col min="7617" max="7617" width="8.28515625" customWidth="1"/>
    <col min="7618" max="7618" width="5.5703125" customWidth="1"/>
    <col min="7619" max="7619" width="8" customWidth="1"/>
    <col min="7620" max="7620" width="5.85546875" customWidth="1"/>
    <col min="7621" max="7621" width="8.85546875" customWidth="1"/>
    <col min="7622" max="7623" width="8" customWidth="1"/>
    <col min="7624" max="7624" width="5.85546875" customWidth="1"/>
    <col min="7625" max="7625" width="6.42578125" customWidth="1"/>
    <col min="7626" max="7626" width="0" hidden="1" customWidth="1"/>
    <col min="7627" max="7627" width="12.42578125" customWidth="1"/>
    <col min="7844" max="7844" width="4.5703125" customWidth="1"/>
    <col min="7845" max="7845" width="30.140625" customWidth="1"/>
    <col min="7846" max="7846" width="0" hidden="1" customWidth="1"/>
    <col min="7847" max="7847" width="8.28515625" customWidth="1"/>
    <col min="7848" max="7848" width="10.140625" customWidth="1"/>
    <col min="7849" max="7849" width="8.85546875" customWidth="1"/>
    <col min="7850" max="7851" width="0" hidden="1" customWidth="1"/>
    <col min="7852" max="7852" width="10.140625" customWidth="1"/>
    <col min="7853" max="7853" width="0" hidden="1" customWidth="1"/>
    <col min="7854" max="7854" width="7.28515625" customWidth="1"/>
    <col min="7855" max="7856" width="0" hidden="1" customWidth="1"/>
    <col min="7857" max="7857" width="12" customWidth="1"/>
    <col min="7858" max="7861" width="0" hidden="1" customWidth="1"/>
    <col min="7862" max="7862" width="10.28515625" customWidth="1"/>
    <col min="7863" max="7863" width="12.28515625" customWidth="1"/>
    <col min="7865" max="7865" width="17.140625" customWidth="1"/>
    <col min="7866" max="7866" width="6.42578125" customWidth="1"/>
    <col min="7867" max="7867" width="10" customWidth="1"/>
    <col min="7868" max="7868" width="6.28515625" customWidth="1"/>
    <col min="7869" max="7869" width="9.42578125" customWidth="1"/>
    <col min="7870" max="7870" width="5.7109375" customWidth="1"/>
    <col min="7871" max="7871" width="9" customWidth="1"/>
    <col min="7872" max="7872" width="5.7109375" customWidth="1"/>
    <col min="7873" max="7873" width="8.28515625" customWidth="1"/>
    <col min="7874" max="7874" width="5.5703125" customWidth="1"/>
    <col min="7875" max="7875" width="8" customWidth="1"/>
    <col min="7876" max="7876" width="5.85546875" customWidth="1"/>
    <col min="7877" max="7877" width="8.85546875" customWidth="1"/>
    <col min="7878" max="7879" width="8" customWidth="1"/>
    <col min="7880" max="7880" width="5.85546875" customWidth="1"/>
    <col min="7881" max="7881" width="6.42578125" customWidth="1"/>
    <col min="7882" max="7882" width="0" hidden="1" customWidth="1"/>
    <col min="7883" max="7883" width="12.42578125" customWidth="1"/>
    <col min="8100" max="8100" width="4.5703125" customWidth="1"/>
    <col min="8101" max="8101" width="30.140625" customWidth="1"/>
    <col min="8102" max="8102" width="0" hidden="1" customWidth="1"/>
    <col min="8103" max="8103" width="8.28515625" customWidth="1"/>
    <col min="8104" max="8104" width="10.140625" customWidth="1"/>
    <col min="8105" max="8105" width="8.85546875" customWidth="1"/>
    <col min="8106" max="8107" width="0" hidden="1" customWidth="1"/>
    <col min="8108" max="8108" width="10.140625" customWidth="1"/>
    <col min="8109" max="8109" width="0" hidden="1" customWidth="1"/>
    <col min="8110" max="8110" width="7.28515625" customWidth="1"/>
    <col min="8111" max="8112" width="0" hidden="1" customWidth="1"/>
    <col min="8113" max="8113" width="12" customWidth="1"/>
    <col min="8114" max="8117" width="0" hidden="1" customWidth="1"/>
    <col min="8118" max="8118" width="10.28515625" customWidth="1"/>
    <col min="8119" max="8119" width="12.28515625" customWidth="1"/>
    <col min="8121" max="8121" width="17.140625" customWidth="1"/>
    <col min="8122" max="8122" width="6.42578125" customWidth="1"/>
    <col min="8123" max="8123" width="10" customWidth="1"/>
    <col min="8124" max="8124" width="6.28515625" customWidth="1"/>
    <col min="8125" max="8125" width="9.42578125" customWidth="1"/>
    <col min="8126" max="8126" width="5.7109375" customWidth="1"/>
    <col min="8127" max="8127" width="9" customWidth="1"/>
    <col min="8128" max="8128" width="5.7109375" customWidth="1"/>
    <col min="8129" max="8129" width="8.28515625" customWidth="1"/>
    <col min="8130" max="8130" width="5.5703125" customWidth="1"/>
    <col min="8131" max="8131" width="8" customWidth="1"/>
    <col min="8132" max="8132" width="5.85546875" customWidth="1"/>
    <col min="8133" max="8133" width="8.85546875" customWidth="1"/>
    <col min="8134" max="8135" width="8" customWidth="1"/>
    <col min="8136" max="8136" width="5.85546875" customWidth="1"/>
    <col min="8137" max="8137" width="6.42578125" customWidth="1"/>
    <col min="8138" max="8138" width="0" hidden="1" customWidth="1"/>
    <col min="8139" max="8139" width="12.42578125" customWidth="1"/>
    <col min="8356" max="8356" width="4.5703125" customWidth="1"/>
    <col min="8357" max="8357" width="30.140625" customWidth="1"/>
    <col min="8358" max="8358" width="0" hidden="1" customWidth="1"/>
    <col min="8359" max="8359" width="8.28515625" customWidth="1"/>
    <col min="8360" max="8360" width="10.140625" customWidth="1"/>
    <col min="8361" max="8361" width="8.85546875" customWidth="1"/>
    <col min="8362" max="8363" width="0" hidden="1" customWidth="1"/>
    <col min="8364" max="8364" width="10.140625" customWidth="1"/>
    <col min="8365" max="8365" width="0" hidden="1" customWidth="1"/>
    <col min="8366" max="8366" width="7.28515625" customWidth="1"/>
    <col min="8367" max="8368" width="0" hidden="1" customWidth="1"/>
    <col min="8369" max="8369" width="12" customWidth="1"/>
    <col min="8370" max="8373" width="0" hidden="1" customWidth="1"/>
    <col min="8374" max="8374" width="10.28515625" customWidth="1"/>
    <col min="8375" max="8375" width="12.28515625" customWidth="1"/>
    <col min="8377" max="8377" width="17.140625" customWidth="1"/>
    <col min="8378" max="8378" width="6.42578125" customWidth="1"/>
    <col min="8379" max="8379" width="10" customWidth="1"/>
    <col min="8380" max="8380" width="6.28515625" customWidth="1"/>
    <col min="8381" max="8381" width="9.42578125" customWidth="1"/>
    <col min="8382" max="8382" width="5.7109375" customWidth="1"/>
    <col min="8383" max="8383" width="9" customWidth="1"/>
    <col min="8384" max="8384" width="5.7109375" customWidth="1"/>
    <col min="8385" max="8385" width="8.28515625" customWidth="1"/>
    <col min="8386" max="8386" width="5.5703125" customWidth="1"/>
    <col min="8387" max="8387" width="8" customWidth="1"/>
    <col min="8388" max="8388" width="5.85546875" customWidth="1"/>
    <col min="8389" max="8389" width="8.85546875" customWidth="1"/>
    <col min="8390" max="8391" width="8" customWidth="1"/>
    <col min="8392" max="8392" width="5.85546875" customWidth="1"/>
    <col min="8393" max="8393" width="6.42578125" customWidth="1"/>
    <col min="8394" max="8394" width="0" hidden="1" customWidth="1"/>
    <col min="8395" max="8395" width="12.42578125" customWidth="1"/>
    <col min="8612" max="8612" width="4.5703125" customWidth="1"/>
    <col min="8613" max="8613" width="30.140625" customWidth="1"/>
    <col min="8614" max="8614" width="0" hidden="1" customWidth="1"/>
    <col min="8615" max="8615" width="8.28515625" customWidth="1"/>
    <col min="8616" max="8616" width="10.140625" customWidth="1"/>
    <col min="8617" max="8617" width="8.85546875" customWidth="1"/>
    <col min="8618" max="8619" width="0" hidden="1" customWidth="1"/>
    <col min="8620" max="8620" width="10.140625" customWidth="1"/>
    <col min="8621" max="8621" width="0" hidden="1" customWidth="1"/>
    <col min="8622" max="8622" width="7.28515625" customWidth="1"/>
    <col min="8623" max="8624" width="0" hidden="1" customWidth="1"/>
    <col min="8625" max="8625" width="12" customWidth="1"/>
    <col min="8626" max="8629" width="0" hidden="1" customWidth="1"/>
    <col min="8630" max="8630" width="10.28515625" customWidth="1"/>
    <col min="8631" max="8631" width="12.28515625" customWidth="1"/>
    <col min="8633" max="8633" width="17.140625" customWidth="1"/>
    <col min="8634" max="8634" width="6.42578125" customWidth="1"/>
    <col min="8635" max="8635" width="10" customWidth="1"/>
    <col min="8636" max="8636" width="6.28515625" customWidth="1"/>
    <col min="8637" max="8637" width="9.42578125" customWidth="1"/>
    <col min="8638" max="8638" width="5.7109375" customWidth="1"/>
    <col min="8639" max="8639" width="9" customWidth="1"/>
    <col min="8640" max="8640" width="5.7109375" customWidth="1"/>
    <col min="8641" max="8641" width="8.28515625" customWidth="1"/>
    <col min="8642" max="8642" width="5.5703125" customWidth="1"/>
    <col min="8643" max="8643" width="8" customWidth="1"/>
    <col min="8644" max="8644" width="5.85546875" customWidth="1"/>
    <col min="8645" max="8645" width="8.85546875" customWidth="1"/>
    <col min="8646" max="8647" width="8" customWidth="1"/>
    <col min="8648" max="8648" width="5.85546875" customWidth="1"/>
    <col min="8649" max="8649" width="6.42578125" customWidth="1"/>
    <col min="8650" max="8650" width="0" hidden="1" customWidth="1"/>
    <col min="8651" max="8651" width="12.42578125" customWidth="1"/>
    <col min="8868" max="8868" width="4.5703125" customWidth="1"/>
    <col min="8869" max="8869" width="30.140625" customWidth="1"/>
    <col min="8870" max="8870" width="0" hidden="1" customWidth="1"/>
    <col min="8871" max="8871" width="8.28515625" customWidth="1"/>
    <col min="8872" max="8872" width="10.140625" customWidth="1"/>
    <col min="8873" max="8873" width="8.85546875" customWidth="1"/>
    <col min="8874" max="8875" width="0" hidden="1" customWidth="1"/>
    <col min="8876" max="8876" width="10.140625" customWidth="1"/>
    <col min="8877" max="8877" width="0" hidden="1" customWidth="1"/>
    <col min="8878" max="8878" width="7.28515625" customWidth="1"/>
    <col min="8879" max="8880" width="0" hidden="1" customWidth="1"/>
    <col min="8881" max="8881" width="12" customWidth="1"/>
    <col min="8882" max="8885" width="0" hidden="1" customWidth="1"/>
    <col min="8886" max="8886" width="10.28515625" customWidth="1"/>
    <col min="8887" max="8887" width="12.28515625" customWidth="1"/>
    <col min="8889" max="8889" width="17.140625" customWidth="1"/>
    <col min="8890" max="8890" width="6.42578125" customWidth="1"/>
    <col min="8891" max="8891" width="10" customWidth="1"/>
    <col min="8892" max="8892" width="6.28515625" customWidth="1"/>
    <col min="8893" max="8893" width="9.42578125" customWidth="1"/>
    <col min="8894" max="8894" width="5.7109375" customWidth="1"/>
    <col min="8895" max="8895" width="9" customWidth="1"/>
    <col min="8896" max="8896" width="5.7109375" customWidth="1"/>
    <col min="8897" max="8897" width="8.28515625" customWidth="1"/>
    <col min="8898" max="8898" width="5.5703125" customWidth="1"/>
    <col min="8899" max="8899" width="8" customWidth="1"/>
    <col min="8900" max="8900" width="5.85546875" customWidth="1"/>
    <col min="8901" max="8901" width="8.85546875" customWidth="1"/>
    <col min="8902" max="8903" width="8" customWidth="1"/>
    <col min="8904" max="8904" width="5.85546875" customWidth="1"/>
    <col min="8905" max="8905" width="6.42578125" customWidth="1"/>
    <col min="8906" max="8906" width="0" hidden="1" customWidth="1"/>
    <col min="8907" max="8907" width="12.42578125" customWidth="1"/>
    <col min="9124" max="9124" width="4.5703125" customWidth="1"/>
    <col min="9125" max="9125" width="30.140625" customWidth="1"/>
    <col min="9126" max="9126" width="0" hidden="1" customWidth="1"/>
    <col min="9127" max="9127" width="8.28515625" customWidth="1"/>
    <col min="9128" max="9128" width="10.140625" customWidth="1"/>
    <col min="9129" max="9129" width="8.85546875" customWidth="1"/>
    <col min="9130" max="9131" width="0" hidden="1" customWidth="1"/>
    <col min="9132" max="9132" width="10.140625" customWidth="1"/>
    <col min="9133" max="9133" width="0" hidden="1" customWidth="1"/>
    <col min="9134" max="9134" width="7.28515625" customWidth="1"/>
    <col min="9135" max="9136" width="0" hidden="1" customWidth="1"/>
    <col min="9137" max="9137" width="12" customWidth="1"/>
    <col min="9138" max="9141" width="0" hidden="1" customWidth="1"/>
    <col min="9142" max="9142" width="10.28515625" customWidth="1"/>
    <col min="9143" max="9143" width="12.28515625" customWidth="1"/>
    <col min="9145" max="9145" width="17.140625" customWidth="1"/>
    <col min="9146" max="9146" width="6.42578125" customWidth="1"/>
    <col min="9147" max="9147" width="10" customWidth="1"/>
    <col min="9148" max="9148" width="6.28515625" customWidth="1"/>
    <col min="9149" max="9149" width="9.42578125" customWidth="1"/>
    <col min="9150" max="9150" width="5.7109375" customWidth="1"/>
    <col min="9151" max="9151" width="9" customWidth="1"/>
    <col min="9152" max="9152" width="5.7109375" customWidth="1"/>
    <col min="9153" max="9153" width="8.28515625" customWidth="1"/>
    <col min="9154" max="9154" width="5.5703125" customWidth="1"/>
    <col min="9155" max="9155" width="8" customWidth="1"/>
    <col min="9156" max="9156" width="5.85546875" customWidth="1"/>
    <col min="9157" max="9157" width="8.85546875" customWidth="1"/>
    <col min="9158" max="9159" width="8" customWidth="1"/>
    <col min="9160" max="9160" width="5.85546875" customWidth="1"/>
    <col min="9161" max="9161" width="6.42578125" customWidth="1"/>
    <col min="9162" max="9162" width="0" hidden="1" customWidth="1"/>
    <col min="9163" max="9163" width="12.42578125" customWidth="1"/>
    <col min="9380" max="9380" width="4.5703125" customWidth="1"/>
    <col min="9381" max="9381" width="30.140625" customWidth="1"/>
    <col min="9382" max="9382" width="0" hidden="1" customWidth="1"/>
    <col min="9383" max="9383" width="8.28515625" customWidth="1"/>
    <col min="9384" max="9384" width="10.140625" customWidth="1"/>
    <col min="9385" max="9385" width="8.85546875" customWidth="1"/>
    <col min="9386" max="9387" width="0" hidden="1" customWidth="1"/>
    <col min="9388" max="9388" width="10.140625" customWidth="1"/>
    <col min="9389" max="9389" width="0" hidden="1" customWidth="1"/>
    <col min="9390" max="9390" width="7.28515625" customWidth="1"/>
    <col min="9391" max="9392" width="0" hidden="1" customWidth="1"/>
    <col min="9393" max="9393" width="12" customWidth="1"/>
    <col min="9394" max="9397" width="0" hidden="1" customWidth="1"/>
    <col min="9398" max="9398" width="10.28515625" customWidth="1"/>
    <col min="9399" max="9399" width="12.28515625" customWidth="1"/>
    <col min="9401" max="9401" width="17.140625" customWidth="1"/>
    <col min="9402" max="9402" width="6.42578125" customWidth="1"/>
    <col min="9403" max="9403" width="10" customWidth="1"/>
    <col min="9404" max="9404" width="6.28515625" customWidth="1"/>
    <col min="9405" max="9405" width="9.42578125" customWidth="1"/>
    <col min="9406" max="9406" width="5.7109375" customWidth="1"/>
    <col min="9407" max="9407" width="9" customWidth="1"/>
    <col min="9408" max="9408" width="5.7109375" customWidth="1"/>
    <col min="9409" max="9409" width="8.28515625" customWidth="1"/>
    <col min="9410" max="9410" width="5.5703125" customWidth="1"/>
    <col min="9411" max="9411" width="8" customWidth="1"/>
    <col min="9412" max="9412" width="5.85546875" customWidth="1"/>
    <col min="9413" max="9413" width="8.85546875" customWidth="1"/>
    <col min="9414" max="9415" width="8" customWidth="1"/>
    <col min="9416" max="9416" width="5.85546875" customWidth="1"/>
    <col min="9417" max="9417" width="6.42578125" customWidth="1"/>
    <col min="9418" max="9418" width="0" hidden="1" customWidth="1"/>
    <col min="9419" max="9419" width="12.42578125" customWidth="1"/>
    <col min="9636" max="9636" width="4.5703125" customWidth="1"/>
    <col min="9637" max="9637" width="30.140625" customWidth="1"/>
    <col min="9638" max="9638" width="0" hidden="1" customWidth="1"/>
    <col min="9639" max="9639" width="8.28515625" customWidth="1"/>
    <col min="9640" max="9640" width="10.140625" customWidth="1"/>
    <col min="9641" max="9641" width="8.85546875" customWidth="1"/>
    <col min="9642" max="9643" width="0" hidden="1" customWidth="1"/>
    <col min="9644" max="9644" width="10.140625" customWidth="1"/>
    <col min="9645" max="9645" width="0" hidden="1" customWidth="1"/>
    <col min="9646" max="9646" width="7.28515625" customWidth="1"/>
    <col min="9647" max="9648" width="0" hidden="1" customWidth="1"/>
    <col min="9649" max="9649" width="12" customWidth="1"/>
    <col min="9650" max="9653" width="0" hidden="1" customWidth="1"/>
    <col min="9654" max="9654" width="10.28515625" customWidth="1"/>
    <col min="9655" max="9655" width="12.28515625" customWidth="1"/>
    <col min="9657" max="9657" width="17.140625" customWidth="1"/>
    <col min="9658" max="9658" width="6.42578125" customWidth="1"/>
    <col min="9659" max="9659" width="10" customWidth="1"/>
    <col min="9660" max="9660" width="6.28515625" customWidth="1"/>
    <col min="9661" max="9661" width="9.42578125" customWidth="1"/>
    <col min="9662" max="9662" width="5.7109375" customWidth="1"/>
    <col min="9663" max="9663" width="9" customWidth="1"/>
    <col min="9664" max="9664" width="5.7109375" customWidth="1"/>
    <col min="9665" max="9665" width="8.28515625" customWidth="1"/>
    <col min="9666" max="9666" width="5.5703125" customWidth="1"/>
    <col min="9667" max="9667" width="8" customWidth="1"/>
    <col min="9668" max="9668" width="5.85546875" customWidth="1"/>
    <col min="9669" max="9669" width="8.85546875" customWidth="1"/>
    <col min="9670" max="9671" width="8" customWidth="1"/>
    <col min="9672" max="9672" width="5.85546875" customWidth="1"/>
    <col min="9673" max="9673" width="6.42578125" customWidth="1"/>
    <col min="9674" max="9674" width="0" hidden="1" customWidth="1"/>
    <col min="9675" max="9675" width="12.42578125" customWidth="1"/>
    <col min="9892" max="9892" width="4.5703125" customWidth="1"/>
    <col min="9893" max="9893" width="30.140625" customWidth="1"/>
    <col min="9894" max="9894" width="0" hidden="1" customWidth="1"/>
    <col min="9895" max="9895" width="8.28515625" customWidth="1"/>
    <col min="9896" max="9896" width="10.140625" customWidth="1"/>
    <col min="9897" max="9897" width="8.85546875" customWidth="1"/>
    <col min="9898" max="9899" width="0" hidden="1" customWidth="1"/>
    <col min="9900" max="9900" width="10.140625" customWidth="1"/>
    <col min="9901" max="9901" width="0" hidden="1" customWidth="1"/>
    <col min="9902" max="9902" width="7.28515625" customWidth="1"/>
    <col min="9903" max="9904" width="0" hidden="1" customWidth="1"/>
    <col min="9905" max="9905" width="12" customWidth="1"/>
    <col min="9906" max="9909" width="0" hidden="1" customWidth="1"/>
    <col min="9910" max="9910" width="10.28515625" customWidth="1"/>
    <col min="9911" max="9911" width="12.28515625" customWidth="1"/>
    <col min="9913" max="9913" width="17.140625" customWidth="1"/>
    <col min="9914" max="9914" width="6.42578125" customWidth="1"/>
    <col min="9915" max="9915" width="10" customWidth="1"/>
    <col min="9916" max="9916" width="6.28515625" customWidth="1"/>
    <col min="9917" max="9917" width="9.42578125" customWidth="1"/>
    <col min="9918" max="9918" width="5.7109375" customWidth="1"/>
    <col min="9919" max="9919" width="9" customWidth="1"/>
    <col min="9920" max="9920" width="5.7109375" customWidth="1"/>
    <col min="9921" max="9921" width="8.28515625" customWidth="1"/>
    <col min="9922" max="9922" width="5.5703125" customWidth="1"/>
    <col min="9923" max="9923" width="8" customWidth="1"/>
    <col min="9924" max="9924" width="5.85546875" customWidth="1"/>
    <col min="9925" max="9925" width="8.85546875" customWidth="1"/>
    <col min="9926" max="9927" width="8" customWidth="1"/>
    <col min="9928" max="9928" width="5.85546875" customWidth="1"/>
    <col min="9929" max="9929" width="6.42578125" customWidth="1"/>
    <col min="9930" max="9930" width="0" hidden="1" customWidth="1"/>
    <col min="9931" max="9931" width="12.42578125" customWidth="1"/>
    <col min="10148" max="10148" width="4.5703125" customWidth="1"/>
    <col min="10149" max="10149" width="30.140625" customWidth="1"/>
    <col min="10150" max="10150" width="0" hidden="1" customWidth="1"/>
    <col min="10151" max="10151" width="8.28515625" customWidth="1"/>
    <col min="10152" max="10152" width="10.140625" customWidth="1"/>
    <col min="10153" max="10153" width="8.85546875" customWidth="1"/>
    <col min="10154" max="10155" width="0" hidden="1" customWidth="1"/>
    <col min="10156" max="10156" width="10.140625" customWidth="1"/>
    <col min="10157" max="10157" width="0" hidden="1" customWidth="1"/>
    <col min="10158" max="10158" width="7.28515625" customWidth="1"/>
    <col min="10159" max="10160" width="0" hidden="1" customWidth="1"/>
    <col min="10161" max="10161" width="12" customWidth="1"/>
    <col min="10162" max="10165" width="0" hidden="1" customWidth="1"/>
    <col min="10166" max="10166" width="10.28515625" customWidth="1"/>
    <col min="10167" max="10167" width="12.28515625" customWidth="1"/>
    <col min="10169" max="10169" width="17.140625" customWidth="1"/>
    <col min="10170" max="10170" width="6.42578125" customWidth="1"/>
    <col min="10171" max="10171" width="10" customWidth="1"/>
    <col min="10172" max="10172" width="6.28515625" customWidth="1"/>
    <col min="10173" max="10173" width="9.42578125" customWidth="1"/>
    <col min="10174" max="10174" width="5.7109375" customWidth="1"/>
    <col min="10175" max="10175" width="9" customWidth="1"/>
    <col min="10176" max="10176" width="5.7109375" customWidth="1"/>
    <col min="10177" max="10177" width="8.28515625" customWidth="1"/>
    <col min="10178" max="10178" width="5.5703125" customWidth="1"/>
    <col min="10179" max="10179" width="8" customWidth="1"/>
    <col min="10180" max="10180" width="5.85546875" customWidth="1"/>
    <col min="10181" max="10181" width="8.85546875" customWidth="1"/>
    <col min="10182" max="10183" width="8" customWidth="1"/>
    <col min="10184" max="10184" width="5.85546875" customWidth="1"/>
    <col min="10185" max="10185" width="6.42578125" customWidth="1"/>
    <col min="10186" max="10186" width="0" hidden="1" customWidth="1"/>
    <col min="10187" max="10187" width="12.42578125" customWidth="1"/>
    <col min="10404" max="10404" width="4.5703125" customWidth="1"/>
    <col min="10405" max="10405" width="30.140625" customWidth="1"/>
    <col min="10406" max="10406" width="0" hidden="1" customWidth="1"/>
    <col min="10407" max="10407" width="8.28515625" customWidth="1"/>
    <col min="10408" max="10408" width="10.140625" customWidth="1"/>
    <col min="10409" max="10409" width="8.85546875" customWidth="1"/>
    <col min="10410" max="10411" width="0" hidden="1" customWidth="1"/>
    <col min="10412" max="10412" width="10.140625" customWidth="1"/>
    <col min="10413" max="10413" width="0" hidden="1" customWidth="1"/>
    <col min="10414" max="10414" width="7.28515625" customWidth="1"/>
    <col min="10415" max="10416" width="0" hidden="1" customWidth="1"/>
    <col min="10417" max="10417" width="12" customWidth="1"/>
    <col min="10418" max="10421" width="0" hidden="1" customWidth="1"/>
    <col min="10422" max="10422" width="10.28515625" customWidth="1"/>
    <col min="10423" max="10423" width="12.28515625" customWidth="1"/>
    <col min="10425" max="10425" width="17.140625" customWidth="1"/>
    <col min="10426" max="10426" width="6.42578125" customWidth="1"/>
    <col min="10427" max="10427" width="10" customWidth="1"/>
    <col min="10428" max="10428" width="6.28515625" customWidth="1"/>
    <col min="10429" max="10429" width="9.42578125" customWidth="1"/>
    <col min="10430" max="10430" width="5.7109375" customWidth="1"/>
    <col min="10431" max="10431" width="9" customWidth="1"/>
    <col min="10432" max="10432" width="5.7109375" customWidth="1"/>
    <col min="10433" max="10433" width="8.28515625" customWidth="1"/>
    <col min="10434" max="10434" width="5.5703125" customWidth="1"/>
    <col min="10435" max="10435" width="8" customWidth="1"/>
    <col min="10436" max="10436" width="5.85546875" customWidth="1"/>
    <col min="10437" max="10437" width="8.85546875" customWidth="1"/>
    <col min="10438" max="10439" width="8" customWidth="1"/>
    <col min="10440" max="10440" width="5.85546875" customWidth="1"/>
    <col min="10441" max="10441" width="6.42578125" customWidth="1"/>
    <col min="10442" max="10442" width="0" hidden="1" customWidth="1"/>
    <col min="10443" max="10443" width="12.42578125" customWidth="1"/>
    <col min="10660" max="10660" width="4.5703125" customWidth="1"/>
    <col min="10661" max="10661" width="30.140625" customWidth="1"/>
    <col min="10662" max="10662" width="0" hidden="1" customWidth="1"/>
    <col min="10663" max="10663" width="8.28515625" customWidth="1"/>
    <col min="10664" max="10664" width="10.140625" customWidth="1"/>
    <col min="10665" max="10665" width="8.85546875" customWidth="1"/>
    <col min="10666" max="10667" width="0" hidden="1" customWidth="1"/>
    <col min="10668" max="10668" width="10.140625" customWidth="1"/>
    <col min="10669" max="10669" width="0" hidden="1" customWidth="1"/>
    <col min="10670" max="10670" width="7.28515625" customWidth="1"/>
    <col min="10671" max="10672" width="0" hidden="1" customWidth="1"/>
    <col min="10673" max="10673" width="12" customWidth="1"/>
    <col min="10674" max="10677" width="0" hidden="1" customWidth="1"/>
    <col min="10678" max="10678" width="10.28515625" customWidth="1"/>
    <col min="10679" max="10679" width="12.28515625" customWidth="1"/>
    <col min="10681" max="10681" width="17.140625" customWidth="1"/>
    <col min="10682" max="10682" width="6.42578125" customWidth="1"/>
    <col min="10683" max="10683" width="10" customWidth="1"/>
    <col min="10684" max="10684" width="6.28515625" customWidth="1"/>
    <col min="10685" max="10685" width="9.42578125" customWidth="1"/>
    <col min="10686" max="10686" width="5.7109375" customWidth="1"/>
    <col min="10687" max="10687" width="9" customWidth="1"/>
    <col min="10688" max="10688" width="5.7109375" customWidth="1"/>
    <col min="10689" max="10689" width="8.28515625" customWidth="1"/>
    <col min="10690" max="10690" width="5.5703125" customWidth="1"/>
    <col min="10691" max="10691" width="8" customWidth="1"/>
    <col min="10692" max="10692" width="5.85546875" customWidth="1"/>
    <col min="10693" max="10693" width="8.85546875" customWidth="1"/>
    <col min="10694" max="10695" width="8" customWidth="1"/>
    <col min="10696" max="10696" width="5.85546875" customWidth="1"/>
    <col min="10697" max="10697" width="6.42578125" customWidth="1"/>
    <col min="10698" max="10698" width="0" hidden="1" customWidth="1"/>
    <col min="10699" max="10699" width="12.42578125" customWidth="1"/>
    <col min="10916" max="10916" width="4.5703125" customWidth="1"/>
    <col min="10917" max="10917" width="30.140625" customWidth="1"/>
    <col min="10918" max="10918" width="0" hidden="1" customWidth="1"/>
    <col min="10919" max="10919" width="8.28515625" customWidth="1"/>
    <col min="10920" max="10920" width="10.140625" customWidth="1"/>
    <col min="10921" max="10921" width="8.85546875" customWidth="1"/>
    <col min="10922" max="10923" width="0" hidden="1" customWidth="1"/>
    <col min="10924" max="10924" width="10.140625" customWidth="1"/>
    <col min="10925" max="10925" width="0" hidden="1" customWidth="1"/>
    <col min="10926" max="10926" width="7.28515625" customWidth="1"/>
    <col min="10927" max="10928" width="0" hidden="1" customWidth="1"/>
    <col min="10929" max="10929" width="12" customWidth="1"/>
    <col min="10930" max="10933" width="0" hidden="1" customWidth="1"/>
    <col min="10934" max="10934" width="10.28515625" customWidth="1"/>
    <col min="10935" max="10935" width="12.28515625" customWidth="1"/>
    <col min="10937" max="10937" width="17.140625" customWidth="1"/>
    <col min="10938" max="10938" width="6.42578125" customWidth="1"/>
    <col min="10939" max="10939" width="10" customWidth="1"/>
    <col min="10940" max="10940" width="6.28515625" customWidth="1"/>
    <col min="10941" max="10941" width="9.42578125" customWidth="1"/>
    <col min="10942" max="10942" width="5.7109375" customWidth="1"/>
    <col min="10943" max="10943" width="9" customWidth="1"/>
    <col min="10944" max="10944" width="5.7109375" customWidth="1"/>
    <col min="10945" max="10945" width="8.28515625" customWidth="1"/>
    <col min="10946" max="10946" width="5.5703125" customWidth="1"/>
    <col min="10947" max="10947" width="8" customWidth="1"/>
    <col min="10948" max="10948" width="5.85546875" customWidth="1"/>
    <col min="10949" max="10949" width="8.85546875" customWidth="1"/>
    <col min="10950" max="10951" width="8" customWidth="1"/>
    <col min="10952" max="10952" width="5.85546875" customWidth="1"/>
    <col min="10953" max="10953" width="6.42578125" customWidth="1"/>
    <col min="10954" max="10954" width="0" hidden="1" customWidth="1"/>
    <col min="10955" max="10955" width="12.42578125" customWidth="1"/>
    <col min="11172" max="11172" width="4.5703125" customWidth="1"/>
    <col min="11173" max="11173" width="30.140625" customWidth="1"/>
    <col min="11174" max="11174" width="0" hidden="1" customWidth="1"/>
    <col min="11175" max="11175" width="8.28515625" customWidth="1"/>
    <col min="11176" max="11176" width="10.140625" customWidth="1"/>
    <col min="11177" max="11177" width="8.85546875" customWidth="1"/>
    <col min="11178" max="11179" width="0" hidden="1" customWidth="1"/>
    <col min="11180" max="11180" width="10.140625" customWidth="1"/>
    <col min="11181" max="11181" width="0" hidden="1" customWidth="1"/>
    <col min="11182" max="11182" width="7.28515625" customWidth="1"/>
    <col min="11183" max="11184" width="0" hidden="1" customWidth="1"/>
    <col min="11185" max="11185" width="12" customWidth="1"/>
    <col min="11186" max="11189" width="0" hidden="1" customWidth="1"/>
    <col min="11190" max="11190" width="10.28515625" customWidth="1"/>
    <col min="11191" max="11191" width="12.28515625" customWidth="1"/>
    <col min="11193" max="11193" width="17.140625" customWidth="1"/>
    <col min="11194" max="11194" width="6.42578125" customWidth="1"/>
    <col min="11195" max="11195" width="10" customWidth="1"/>
    <col min="11196" max="11196" width="6.28515625" customWidth="1"/>
    <col min="11197" max="11197" width="9.42578125" customWidth="1"/>
    <col min="11198" max="11198" width="5.7109375" customWidth="1"/>
    <col min="11199" max="11199" width="9" customWidth="1"/>
    <col min="11200" max="11200" width="5.7109375" customWidth="1"/>
    <col min="11201" max="11201" width="8.28515625" customWidth="1"/>
    <col min="11202" max="11202" width="5.5703125" customWidth="1"/>
    <col min="11203" max="11203" width="8" customWidth="1"/>
    <col min="11204" max="11204" width="5.85546875" customWidth="1"/>
    <col min="11205" max="11205" width="8.85546875" customWidth="1"/>
    <col min="11206" max="11207" width="8" customWidth="1"/>
    <col min="11208" max="11208" width="5.85546875" customWidth="1"/>
    <col min="11209" max="11209" width="6.42578125" customWidth="1"/>
    <col min="11210" max="11210" width="0" hidden="1" customWidth="1"/>
    <col min="11211" max="11211" width="12.42578125" customWidth="1"/>
    <col min="11428" max="11428" width="4.5703125" customWidth="1"/>
    <col min="11429" max="11429" width="30.140625" customWidth="1"/>
    <col min="11430" max="11430" width="0" hidden="1" customWidth="1"/>
    <col min="11431" max="11431" width="8.28515625" customWidth="1"/>
    <col min="11432" max="11432" width="10.140625" customWidth="1"/>
    <col min="11433" max="11433" width="8.85546875" customWidth="1"/>
    <col min="11434" max="11435" width="0" hidden="1" customWidth="1"/>
    <col min="11436" max="11436" width="10.140625" customWidth="1"/>
    <col min="11437" max="11437" width="0" hidden="1" customWidth="1"/>
    <col min="11438" max="11438" width="7.28515625" customWidth="1"/>
    <col min="11439" max="11440" width="0" hidden="1" customWidth="1"/>
    <col min="11441" max="11441" width="12" customWidth="1"/>
    <col min="11442" max="11445" width="0" hidden="1" customWidth="1"/>
    <col min="11446" max="11446" width="10.28515625" customWidth="1"/>
    <col min="11447" max="11447" width="12.28515625" customWidth="1"/>
    <col min="11449" max="11449" width="17.140625" customWidth="1"/>
    <col min="11450" max="11450" width="6.42578125" customWidth="1"/>
    <col min="11451" max="11451" width="10" customWidth="1"/>
    <col min="11452" max="11452" width="6.28515625" customWidth="1"/>
    <col min="11453" max="11453" width="9.42578125" customWidth="1"/>
    <col min="11454" max="11454" width="5.7109375" customWidth="1"/>
    <col min="11455" max="11455" width="9" customWidth="1"/>
    <col min="11456" max="11456" width="5.7109375" customWidth="1"/>
    <col min="11457" max="11457" width="8.28515625" customWidth="1"/>
    <col min="11458" max="11458" width="5.5703125" customWidth="1"/>
    <col min="11459" max="11459" width="8" customWidth="1"/>
    <col min="11460" max="11460" width="5.85546875" customWidth="1"/>
    <col min="11461" max="11461" width="8.85546875" customWidth="1"/>
    <col min="11462" max="11463" width="8" customWidth="1"/>
    <col min="11464" max="11464" width="5.85546875" customWidth="1"/>
    <col min="11465" max="11465" width="6.42578125" customWidth="1"/>
    <col min="11466" max="11466" width="0" hidden="1" customWidth="1"/>
    <col min="11467" max="11467" width="12.42578125" customWidth="1"/>
    <col min="11684" max="11684" width="4.5703125" customWidth="1"/>
    <col min="11685" max="11685" width="30.140625" customWidth="1"/>
    <col min="11686" max="11686" width="0" hidden="1" customWidth="1"/>
    <col min="11687" max="11687" width="8.28515625" customWidth="1"/>
    <col min="11688" max="11688" width="10.140625" customWidth="1"/>
    <col min="11689" max="11689" width="8.85546875" customWidth="1"/>
    <col min="11690" max="11691" width="0" hidden="1" customWidth="1"/>
    <col min="11692" max="11692" width="10.140625" customWidth="1"/>
    <col min="11693" max="11693" width="0" hidden="1" customWidth="1"/>
    <col min="11694" max="11694" width="7.28515625" customWidth="1"/>
    <col min="11695" max="11696" width="0" hidden="1" customWidth="1"/>
    <col min="11697" max="11697" width="12" customWidth="1"/>
    <col min="11698" max="11701" width="0" hidden="1" customWidth="1"/>
    <col min="11702" max="11702" width="10.28515625" customWidth="1"/>
    <col min="11703" max="11703" width="12.28515625" customWidth="1"/>
    <col min="11705" max="11705" width="17.140625" customWidth="1"/>
    <col min="11706" max="11706" width="6.42578125" customWidth="1"/>
    <col min="11707" max="11707" width="10" customWidth="1"/>
    <col min="11708" max="11708" width="6.28515625" customWidth="1"/>
    <col min="11709" max="11709" width="9.42578125" customWidth="1"/>
    <col min="11710" max="11710" width="5.7109375" customWidth="1"/>
    <col min="11711" max="11711" width="9" customWidth="1"/>
    <col min="11712" max="11712" width="5.7109375" customWidth="1"/>
    <col min="11713" max="11713" width="8.28515625" customWidth="1"/>
    <col min="11714" max="11714" width="5.5703125" customWidth="1"/>
    <col min="11715" max="11715" width="8" customWidth="1"/>
    <col min="11716" max="11716" width="5.85546875" customWidth="1"/>
    <col min="11717" max="11717" width="8.85546875" customWidth="1"/>
    <col min="11718" max="11719" width="8" customWidth="1"/>
    <col min="11720" max="11720" width="5.85546875" customWidth="1"/>
    <col min="11721" max="11721" width="6.42578125" customWidth="1"/>
    <col min="11722" max="11722" width="0" hidden="1" customWidth="1"/>
    <col min="11723" max="11723" width="12.42578125" customWidth="1"/>
    <col min="11940" max="11940" width="4.5703125" customWidth="1"/>
    <col min="11941" max="11941" width="30.140625" customWidth="1"/>
    <col min="11942" max="11942" width="0" hidden="1" customWidth="1"/>
    <col min="11943" max="11943" width="8.28515625" customWidth="1"/>
    <col min="11944" max="11944" width="10.140625" customWidth="1"/>
    <col min="11945" max="11945" width="8.85546875" customWidth="1"/>
    <col min="11946" max="11947" width="0" hidden="1" customWidth="1"/>
    <col min="11948" max="11948" width="10.140625" customWidth="1"/>
    <col min="11949" max="11949" width="0" hidden="1" customWidth="1"/>
    <col min="11950" max="11950" width="7.28515625" customWidth="1"/>
    <col min="11951" max="11952" width="0" hidden="1" customWidth="1"/>
    <col min="11953" max="11953" width="12" customWidth="1"/>
    <col min="11954" max="11957" width="0" hidden="1" customWidth="1"/>
    <col min="11958" max="11958" width="10.28515625" customWidth="1"/>
    <col min="11959" max="11959" width="12.28515625" customWidth="1"/>
    <col min="11961" max="11961" width="17.140625" customWidth="1"/>
    <col min="11962" max="11962" width="6.42578125" customWidth="1"/>
    <col min="11963" max="11963" width="10" customWidth="1"/>
    <col min="11964" max="11964" width="6.28515625" customWidth="1"/>
    <col min="11965" max="11965" width="9.42578125" customWidth="1"/>
    <col min="11966" max="11966" width="5.7109375" customWidth="1"/>
    <col min="11967" max="11967" width="9" customWidth="1"/>
    <col min="11968" max="11968" width="5.7109375" customWidth="1"/>
    <col min="11969" max="11969" width="8.28515625" customWidth="1"/>
    <col min="11970" max="11970" width="5.5703125" customWidth="1"/>
    <col min="11971" max="11971" width="8" customWidth="1"/>
    <col min="11972" max="11972" width="5.85546875" customWidth="1"/>
    <col min="11973" max="11973" width="8.85546875" customWidth="1"/>
    <col min="11974" max="11975" width="8" customWidth="1"/>
    <col min="11976" max="11976" width="5.85546875" customWidth="1"/>
    <col min="11977" max="11977" width="6.42578125" customWidth="1"/>
    <col min="11978" max="11978" width="0" hidden="1" customWidth="1"/>
    <col min="11979" max="11979" width="12.42578125" customWidth="1"/>
    <col min="12196" max="12196" width="4.5703125" customWidth="1"/>
    <col min="12197" max="12197" width="30.140625" customWidth="1"/>
    <col min="12198" max="12198" width="0" hidden="1" customWidth="1"/>
    <col min="12199" max="12199" width="8.28515625" customWidth="1"/>
    <col min="12200" max="12200" width="10.140625" customWidth="1"/>
    <col min="12201" max="12201" width="8.85546875" customWidth="1"/>
    <col min="12202" max="12203" width="0" hidden="1" customWidth="1"/>
    <col min="12204" max="12204" width="10.140625" customWidth="1"/>
    <col min="12205" max="12205" width="0" hidden="1" customWidth="1"/>
    <col min="12206" max="12206" width="7.28515625" customWidth="1"/>
    <col min="12207" max="12208" width="0" hidden="1" customWidth="1"/>
    <col min="12209" max="12209" width="12" customWidth="1"/>
    <col min="12210" max="12213" width="0" hidden="1" customWidth="1"/>
    <col min="12214" max="12214" width="10.28515625" customWidth="1"/>
    <col min="12215" max="12215" width="12.28515625" customWidth="1"/>
    <col min="12217" max="12217" width="17.140625" customWidth="1"/>
    <col min="12218" max="12218" width="6.42578125" customWidth="1"/>
    <col min="12219" max="12219" width="10" customWidth="1"/>
    <col min="12220" max="12220" width="6.28515625" customWidth="1"/>
    <col min="12221" max="12221" width="9.42578125" customWidth="1"/>
    <col min="12222" max="12222" width="5.7109375" customWidth="1"/>
    <col min="12223" max="12223" width="9" customWidth="1"/>
    <col min="12224" max="12224" width="5.7109375" customWidth="1"/>
    <col min="12225" max="12225" width="8.28515625" customWidth="1"/>
    <col min="12226" max="12226" width="5.5703125" customWidth="1"/>
    <col min="12227" max="12227" width="8" customWidth="1"/>
    <col min="12228" max="12228" width="5.85546875" customWidth="1"/>
    <col min="12229" max="12229" width="8.85546875" customWidth="1"/>
    <col min="12230" max="12231" width="8" customWidth="1"/>
    <col min="12232" max="12232" width="5.85546875" customWidth="1"/>
    <col min="12233" max="12233" width="6.42578125" customWidth="1"/>
    <col min="12234" max="12234" width="0" hidden="1" customWidth="1"/>
    <col min="12235" max="12235" width="12.42578125" customWidth="1"/>
    <col min="12452" max="12452" width="4.5703125" customWidth="1"/>
    <col min="12453" max="12453" width="30.140625" customWidth="1"/>
    <col min="12454" max="12454" width="0" hidden="1" customWidth="1"/>
    <col min="12455" max="12455" width="8.28515625" customWidth="1"/>
    <col min="12456" max="12456" width="10.140625" customWidth="1"/>
    <col min="12457" max="12457" width="8.85546875" customWidth="1"/>
    <col min="12458" max="12459" width="0" hidden="1" customWidth="1"/>
    <col min="12460" max="12460" width="10.140625" customWidth="1"/>
    <col min="12461" max="12461" width="0" hidden="1" customWidth="1"/>
    <col min="12462" max="12462" width="7.28515625" customWidth="1"/>
    <col min="12463" max="12464" width="0" hidden="1" customWidth="1"/>
    <col min="12465" max="12465" width="12" customWidth="1"/>
    <col min="12466" max="12469" width="0" hidden="1" customWidth="1"/>
    <col min="12470" max="12470" width="10.28515625" customWidth="1"/>
    <col min="12471" max="12471" width="12.28515625" customWidth="1"/>
    <col min="12473" max="12473" width="17.140625" customWidth="1"/>
    <col min="12474" max="12474" width="6.42578125" customWidth="1"/>
    <col min="12475" max="12475" width="10" customWidth="1"/>
    <col min="12476" max="12476" width="6.28515625" customWidth="1"/>
    <col min="12477" max="12477" width="9.42578125" customWidth="1"/>
    <col min="12478" max="12478" width="5.7109375" customWidth="1"/>
    <col min="12479" max="12479" width="9" customWidth="1"/>
    <col min="12480" max="12480" width="5.7109375" customWidth="1"/>
    <col min="12481" max="12481" width="8.28515625" customWidth="1"/>
    <col min="12482" max="12482" width="5.5703125" customWidth="1"/>
    <col min="12483" max="12483" width="8" customWidth="1"/>
    <col min="12484" max="12484" width="5.85546875" customWidth="1"/>
    <col min="12485" max="12485" width="8.85546875" customWidth="1"/>
    <col min="12486" max="12487" width="8" customWidth="1"/>
    <col min="12488" max="12488" width="5.85546875" customWidth="1"/>
    <col min="12489" max="12489" width="6.42578125" customWidth="1"/>
    <col min="12490" max="12490" width="0" hidden="1" customWidth="1"/>
    <col min="12491" max="12491" width="12.42578125" customWidth="1"/>
    <col min="12708" max="12708" width="4.5703125" customWidth="1"/>
    <col min="12709" max="12709" width="30.140625" customWidth="1"/>
    <col min="12710" max="12710" width="0" hidden="1" customWidth="1"/>
    <col min="12711" max="12711" width="8.28515625" customWidth="1"/>
    <col min="12712" max="12712" width="10.140625" customWidth="1"/>
    <col min="12713" max="12713" width="8.85546875" customWidth="1"/>
    <col min="12714" max="12715" width="0" hidden="1" customWidth="1"/>
    <col min="12716" max="12716" width="10.140625" customWidth="1"/>
    <col min="12717" max="12717" width="0" hidden="1" customWidth="1"/>
    <col min="12718" max="12718" width="7.28515625" customWidth="1"/>
    <col min="12719" max="12720" width="0" hidden="1" customWidth="1"/>
    <col min="12721" max="12721" width="12" customWidth="1"/>
    <col min="12722" max="12725" width="0" hidden="1" customWidth="1"/>
    <col min="12726" max="12726" width="10.28515625" customWidth="1"/>
    <col min="12727" max="12727" width="12.28515625" customWidth="1"/>
    <col min="12729" max="12729" width="17.140625" customWidth="1"/>
    <col min="12730" max="12730" width="6.42578125" customWidth="1"/>
    <col min="12731" max="12731" width="10" customWidth="1"/>
    <col min="12732" max="12732" width="6.28515625" customWidth="1"/>
    <col min="12733" max="12733" width="9.42578125" customWidth="1"/>
    <col min="12734" max="12734" width="5.7109375" customWidth="1"/>
    <col min="12735" max="12735" width="9" customWidth="1"/>
    <col min="12736" max="12736" width="5.7109375" customWidth="1"/>
    <col min="12737" max="12737" width="8.28515625" customWidth="1"/>
    <col min="12738" max="12738" width="5.5703125" customWidth="1"/>
    <col min="12739" max="12739" width="8" customWidth="1"/>
    <col min="12740" max="12740" width="5.85546875" customWidth="1"/>
    <col min="12741" max="12741" width="8.85546875" customWidth="1"/>
    <col min="12742" max="12743" width="8" customWidth="1"/>
    <col min="12744" max="12744" width="5.85546875" customWidth="1"/>
    <col min="12745" max="12745" width="6.42578125" customWidth="1"/>
    <col min="12746" max="12746" width="0" hidden="1" customWidth="1"/>
    <col min="12747" max="12747" width="12.42578125" customWidth="1"/>
    <col min="12964" max="12964" width="4.5703125" customWidth="1"/>
    <col min="12965" max="12965" width="30.140625" customWidth="1"/>
    <col min="12966" max="12966" width="0" hidden="1" customWidth="1"/>
    <col min="12967" max="12967" width="8.28515625" customWidth="1"/>
    <col min="12968" max="12968" width="10.140625" customWidth="1"/>
    <col min="12969" max="12969" width="8.85546875" customWidth="1"/>
    <col min="12970" max="12971" width="0" hidden="1" customWidth="1"/>
    <col min="12972" max="12972" width="10.140625" customWidth="1"/>
    <col min="12973" max="12973" width="0" hidden="1" customWidth="1"/>
    <col min="12974" max="12974" width="7.28515625" customWidth="1"/>
    <col min="12975" max="12976" width="0" hidden="1" customWidth="1"/>
    <col min="12977" max="12977" width="12" customWidth="1"/>
    <col min="12978" max="12981" width="0" hidden="1" customWidth="1"/>
    <col min="12982" max="12982" width="10.28515625" customWidth="1"/>
    <col min="12983" max="12983" width="12.28515625" customWidth="1"/>
    <col min="12985" max="12985" width="17.140625" customWidth="1"/>
    <col min="12986" max="12986" width="6.42578125" customWidth="1"/>
    <col min="12987" max="12987" width="10" customWidth="1"/>
    <col min="12988" max="12988" width="6.28515625" customWidth="1"/>
    <col min="12989" max="12989" width="9.42578125" customWidth="1"/>
    <col min="12990" max="12990" width="5.7109375" customWidth="1"/>
    <col min="12991" max="12991" width="9" customWidth="1"/>
    <col min="12992" max="12992" width="5.7109375" customWidth="1"/>
    <col min="12993" max="12993" width="8.28515625" customWidth="1"/>
    <col min="12994" max="12994" width="5.5703125" customWidth="1"/>
    <col min="12995" max="12995" width="8" customWidth="1"/>
    <col min="12996" max="12996" width="5.85546875" customWidth="1"/>
    <col min="12997" max="12997" width="8.85546875" customWidth="1"/>
    <col min="12998" max="12999" width="8" customWidth="1"/>
    <col min="13000" max="13000" width="5.85546875" customWidth="1"/>
    <col min="13001" max="13001" width="6.42578125" customWidth="1"/>
    <col min="13002" max="13002" width="0" hidden="1" customWidth="1"/>
    <col min="13003" max="13003" width="12.42578125" customWidth="1"/>
    <col min="13220" max="13220" width="4.5703125" customWidth="1"/>
    <col min="13221" max="13221" width="30.140625" customWidth="1"/>
    <col min="13222" max="13222" width="0" hidden="1" customWidth="1"/>
    <col min="13223" max="13223" width="8.28515625" customWidth="1"/>
    <col min="13224" max="13224" width="10.140625" customWidth="1"/>
    <col min="13225" max="13225" width="8.85546875" customWidth="1"/>
    <col min="13226" max="13227" width="0" hidden="1" customWidth="1"/>
    <col min="13228" max="13228" width="10.140625" customWidth="1"/>
    <col min="13229" max="13229" width="0" hidden="1" customWidth="1"/>
    <col min="13230" max="13230" width="7.28515625" customWidth="1"/>
    <col min="13231" max="13232" width="0" hidden="1" customWidth="1"/>
    <col min="13233" max="13233" width="12" customWidth="1"/>
    <col min="13234" max="13237" width="0" hidden="1" customWidth="1"/>
    <col min="13238" max="13238" width="10.28515625" customWidth="1"/>
    <col min="13239" max="13239" width="12.28515625" customWidth="1"/>
    <col min="13241" max="13241" width="17.140625" customWidth="1"/>
    <col min="13242" max="13242" width="6.42578125" customWidth="1"/>
    <col min="13243" max="13243" width="10" customWidth="1"/>
    <col min="13244" max="13244" width="6.28515625" customWidth="1"/>
    <col min="13245" max="13245" width="9.42578125" customWidth="1"/>
    <col min="13246" max="13246" width="5.7109375" customWidth="1"/>
    <col min="13247" max="13247" width="9" customWidth="1"/>
    <col min="13248" max="13248" width="5.7109375" customWidth="1"/>
    <col min="13249" max="13249" width="8.28515625" customWidth="1"/>
    <col min="13250" max="13250" width="5.5703125" customWidth="1"/>
    <col min="13251" max="13251" width="8" customWidth="1"/>
    <col min="13252" max="13252" width="5.85546875" customWidth="1"/>
    <col min="13253" max="13253" width="8.85546875" customWidth="1"/>
    <col min="13254" max="13255" width="8" customWidth="1"/>
    <col min="13256" max="13256" width="5.85546875" customWidth="1"/>
    <col min="13257" max="13257" width="6.42578125" customWidth="1"/>
    <col min="13258" max="13258" width="0" hidden="1" customWidth="1"/>
    <col min="13259" max="13259" width="12.42578125" customWidth="1"/>
    <col min="13476" max="13476" width="4.5703125" customWidth="1"/>
    <col min="13477" max="13477" width="30.140625" customWidth="1"/>
    <col min="13478" max="13478" width="0" hidden="1" customWidth="1"/>
    <col min="13479" max="13479" width="8.28515625" customWidth="1"/>
    <col min="13480" max="13480" width="10.140625" customWidth="1"/>
    <col min="13481" max="13481" width="8.85546875" customWidth="1"/>
    <col min="13482" max="13483" width="0" hidden="1" customWidth="1"/>
    <col min="13484" max="13484" width="10.140625" customWidth="1"/>
    <col min="13485" max="13485" width="0" hidden="1" customWidth="1"/>
    <col min="13486" max="13486" width="7.28515625" customWidth="1"/>
    <col min="13487" max="13488" width="0" hidden="1" customWidth="1"/>
    <col min="13489" max="13489" width="12" customWidth="1"/>
    <col min="13490" max="13493" width="0" hidden="1" customWidth="1"/>
    <col min="13494" max="13494" width="10.28515625" customWidth="1"/>
    <col min="13495" max="13495" width="12.28515625" customWidth="1"/>
    <col min="13497" max="13497" width="17.140625" customWidth="1"/>
    <col min="13498" max="13498" width="6.42578125" customWidth="1"/>
    <col min="13499" max="13499" width="10" customWidth="1"/>
    <col min="13500" max="13500" width="6.28515625" customWidth="1"/>
    <col min="13501" max="13501" width="9.42578125" customWidth="1"/>
    <col min="13502" max="13502" width="5.7109375" customWidth="1"/>
    <col min="13503" max="13503" width="9" customWidth="1"/>
    <col min="13504" max="13504" width="5.7109375" customWidth="1"/>
    <col min="13505" max="13505" width="8.28515625" customWidth="1"/>
    <col min="13506" max="13506" width="5.5703125" customWidth="1"/>
    <col min="13507" max="13507" width="8" customWidth="1"/>
    <col min="13508" max="13508" width="5.85546875" customWidth="1"/>
    <col min="13509" max="13509" width="8.85546875" customWidth="1"/>
    <col min="13510" max="13511" width="8" customWidth="1"/>
    <col min="13512" max="13512" width="5.85546875" customWidth="1"/>
    <col min="13513" max="13513" width="6.42578125" customWidth="1"/>
    <col min="13514" max="13514" width="0" hidden="1" customWidth="1"/>
    <col min="13515" max="13515" width="12.42578125" customWidth="1"/>
    <col min="13732" max="13732" width="4.5703125" customWidth="1"/>
    <col min="13733" max="13733" width="30.140625" customWidth="1"/>
    <col min="13734" max="13734" width="0" hidden="1" customWidth="1"/>
    <col min="13735" max="13735" width="8.28515625" customWidth="1"/>
    <col min="13736" max="13736" width="10.140625" customWidth="1"/>
    <col min="13737" max="13737" width="8.85546875" customWidth="1"/>
    <col min="13738" max="13739" width="0" hidden="1" customWidth="1"/>
    <col min="13740" max="13740" width="10.140625" customWidth="1"/>
    <col min="13741" max="13741" width="0" hidden="1" customWidth="1"/>
    <col min="13742" max="13742" width="7.28515625" customWidth="1"/>
    <col min="13743" max="13744" width="0" hidden="1" customWidth="1"/>
    <col min="13745" max="13745" width="12" customWidth="1"/>
    <col min="13746" max="13749" width="0" hidden="1" customWidth="1"/>
    <col min="13750" max="13750" width="10.28515625" customWidth="1"/>
    <col min="13751" max="13751" width="12.28515625" customWidth="1"/>
    <col min="13753" max="13753" width="17.140625" customWidth="1"/>
    <col min="13754" max="13754" width="6.42578125" customWidth="1"/>
    <col min="13755" max="13755" width="10" customWidth="1"/>
    <col min="13756" max="13756" width="6.28515625" customWidth="1"/>
    <col min="13757" max="13757" width="9.42578125" customWidth="1"/>
    <col min="13758" max="13758" width="5.7109375" customWidth="1"/>
    <col min="13759" max="13759" width="9" customWidth="1"/>
    <col min="13760" max="13760" width="5.7109375" customWidth="1"/>
    <col min="13761" max="13761" width="8.28515625" customWidth="1"/>
    <col min="13762" max="13762" width="5.5703125" customWidth="1"/>
    <col min="13763" max="13763" width="8" customWidth="1"/>
    <col min="13764" max="13764" width="5.85546875" customWidth="1"/>
    <col min="13765" max="13765" width="8.85546875" customWidth="1"/>
    <col min="13766" max="13767" width="8" customWidth="1"/>
    <col min="13768" max="13768" width="5.85546875" customWidth="1"/>
    <col min="13769" max="13769" width="6.42578125" customWidth="1"/>
    <col min="13770" max="13770" width="0" hidden="1" customWidth="1"/>
    <col min="13771" max="13771" width="12.42578125" customWidth="1"/>
    <col min="13988" max="13988" width="4.5703125" customWidth="1"/>
    <col min="13989" max="13989" width="30.140625" customWidth="1"/>
    <col min="13990" max="13990" width="0" hidden="1" customWidth="1"/>
    <col min="13991" max="13991" width="8.28515625" customWidth="1"/>
    <col min="13992" max="13992" width="10.140625" customWidth="1"/>
    <col min="13993" max="13993" width="8.85546875" customWidth="1"/>
    <col min="13994" max="13995" width="0" hidden="1" customWidth="1"/>
    <col min="13996" max="13996" width="10.140625" customWidth="1"/>
    <col min="13997" max="13997" width="0" hidden="1" customWidth="1"/>
    <col min="13998" max="13998" width="7.28515625" customWidth="1"/>
    <col min="13999" max="14000" width="0" hidden="1" customWidth="1"/>
    <col min="14001" max="14001" width="12" customWidth="1"/>
    <col min="14002" max="14005" width="0" hidden="1" customWidth="1"/>
    <col min="14006" max="14006" width="10.28515625" customWidth="1"/>
    <col min="14007" max="14007" width="12.28515625" customWidth="1"/>
    <col min="14009" max="14009" width="17.140625" customWidth="1"/>
    <col min="14010" max="14010" width="6.42578125" customWidth="1"/>
    <col min="14011" max="14011" width="10" customWidth="1"/>
    <col min="14012" max="14012" width="6.28515625" customWidth="1"/>
    <col min="14013" max="14013" width="9.42578125" customWidth="1"/>
    <col min="14014" max="14014" width="5.7109375" customWidth="1"/>
    <col min="14015" max="14015" width="9" customWidth="1"/>
    <col min="14016" max="14016" width="5.7109375" customWidth="1"/>
    <col min="14017" max="14017" width="8.28515625" customWidth="1"/>
    <col min="14018" max="14018" width="5.5703125" customWidth="1"/>
    <col min="14019" max="14019" width="8" customWidth="1"/>
    <col min="14020" max="14020" width="5.85546875" customWidth="1"/>
    <col min="14021" max="14021" width="8.85546875" customWidth="1"/>
    <col min="14022" max="14023" width="8" customWidth="1"/>
    <col min="14024" max="14024" width="5.85546875" customWidth="1"/>
    <col min="14025" max="14025" width="6.42578125" customWidth="1"/>
    <col min="14026" max="14026" width="0" hidden="1" customWidth="1"/>
    <col min="14027" max="14027" width="12.42578125" customWidth="1"/>
    <col min="14244" max="14244" width="4.5703125" customWidth="1"/>
    <col min="14245" max="14245" width="30.140625" customWidth="1"/>
    <col min="14246" max="14246" width="0" hidden="1" customWidth="1"/>
    <col min="14247" max="14247" width="8.28515625" customWidth="1"/>
    <col min="14248" max="14248" width="10.140625" customWidth="1"/>
    <col min="14249" max="14249" width="8.85546875" customWidth="1"/>
    <col min="14250" max="14251" width="0" hidden="1" customWidth="1"/>
    <col min="14252" max="14252" width="10.140625" customWidth="1"/>
    <col min="14253" max="14253" width="0" hidden="1" customWidth="1"/>
    <col min="14254" max="14254" width="7.28515625" customWidth="1"/>
    <col min="14255" max="14256" width="0" hidden="1" customWidth="1"/>
    <col min="14257" max="14257" width="12" customWidth="1"/>
    <col min="14258" max="14261" width="0" hidden="1" customWidth="1"/>
    <col min="14262" max="14262" width="10.28515625" customWidth="1"/>
    <col min="14263" max="14263" width="12.28515625" customWidth="1"/>
    <col min="14265" max="14265" width="17.140625" customWidth="1"/>
    <col min="14266" max="14266" width="6.42578125" customWidth="1"/>
    <col min="14267" max="14267" width="10" customWidth="1"/>
    <col min="14268" max="14268" width="6.28515625" customWidth="1"/>
    <col min="14269" max="14269" width="9.42578125" customWidth="1"/>
    <col min="14270" max="14270" width="5.7109375" customWidth="1"/>
    <col min="14271" max="14271" width="9" customWidth="1"/>
    <col min="14272" max="14272" width="5.7109375" customWidth="1"/>
    <col min="14273" max="14273" width="8.28515625" customWidth="1"/>
    <col min="14274" max="14274" width="5.5703125" customWidth="1"/>
    <col min="14275" max="14275" width="8" customWidth="1"/>
    <col min="14276" max="14276" width="5.85546875" customWidth="1"/>
    <col min="14277" max="14277" width="8.85546875" customWidth="1"/>
    <col min="14278" max="14279" width="8" customWidth="1"/>
    <col min="14280" max="14280" width="5.85546875" customWidth="1"/>
    <col min="14281" max="14281" width="6.42578125" customWidth="1"/>
    <col min="14282" max="14282" width="0" hidden="1" customWidth="1"/>
    <col min="14283" max="14283" width="12.42578125" customWidth="1"/>
    <col min="14500" max="14500" width="4.5703125" customWidth="1"/>
    <col min="14501" max="14501" width="30.140625" customWidth="1"/>
    <col min="14502" max="14502" width="0" hidden="1" customWidth="1"/>
    <col min="14503" max="14503" width="8.28515625" customWidth="1"/>
    <col min="14504" max="14504" width="10.140625" customWidth="1"/>
    <col min="14505" max="14505" width="8.85546875" customWidth="1"/>
    <col min="14506" max="14507" width="0" hidden="1" customWidth="1"/>
    <col min="14508" max="14508" width="10.140625" customWidth="1"/>
    <col min="14509" max="14509" width="0" hidden="1" customWidth="1"/>
    <col min="14510" max="14510" width="7.28515625" customWidth="1"/>
    <col min="14511" max="14512" width="0" hidden="1" customWidth="1"/>
    <col min="14513" max="14513" width="12" customWidth="1"/>
    <col min="14514" max="14517" width="0" hidden="1" customWidth="1"/>
    <col min="14518" max="14518" width="10.28515625" customWidth="1"/>
    <col min="14519" max="14519" width="12.28515625" customWidth="1"/>
    <col min="14521" max="14521" width="17.140625" customWidth="1"/>
    <col min="14522" max="14522" width="6.42578125" customWidth="1"/>
    <col min="14523" max="14523" width="10" customWidth="1"/>
    <col min="14524" max="14524" width="6.28515625" customWidth="1"/>
    <col min="14525" max="14525" width="9.42578125" customWidth="1"/>
    <col min="14526" max="14526" width="5.7109375" customWidth="1"/>
    <col min="14527" max="14527" width="9" customWidth="1"/>
    <col min="14528" max="14528" width="5.7109375" customWidth="1"/>
    <col min="14529" max="14529" width="8.28515625" customWidth="1"/>
    <col min="14530" max="14530" width="5.5703125" customWidth="1"/>
    <col min="14531" max="14531" width="8" customWidth="1"/>
    <col min="14532" max="14532" width="5.85546875" customWidth="1"/>
    <col min="14533" max="14533" width="8.85546875" customWidth="1"/>
    <col min="14534" max="14535" width="8" customWidth="1"/>
    <col min="14536" max="14536" width="5.85546875" customWidth="1"/>
    <col min="14537" max="14537" width="6.42578125" customWidth="1"/>
    <col min="14538" max="14538" width="0" hidden="1" customWidth="1"/>
    <col min="14539" max="14539" width="12.42578125" customWidth="1"/>
    <col min="14756" max="14756" width="4.5703125" customWidth="1"/>
    <col min="14757" max="14757" width="30.140625" customWidth="1"/>
    <col min="14758" max="14758" width="0" hidden="1" customWidth="1"/>
    <col min="14759" max="14759" width="8.28515625" customWidth="1"/>
    <col min="14760" max="14760" width="10.140625" customWidth="1"/>
    <col min="14761" max="14761" width="8.85546875" customWidth="1"/>
    <col min="14762" max="14763" width="0" hidden="1" customWidth="1"/>
    <col min="14764" max="14764" width="10.140625" customWidth="1"/>
    <col min="14765" max="14765" width="0" hidden="1" customWidth="1"/>
    <col min="14766" max="14766" width="7.28515625" customWidth="1"/>
    <col min="14767" max="14768" width="0" hidden="1" customWidth="1"/>
    <col min="14769" max="14769" width="12" customWidth="1"/>
    <col min="14770" max="14773" width="0" hidden="1" customWidth="1"/>
    <col min="14774" max="14774" width="10.28515625" customWidth="1"/>
    <col min="14775" max="14775" width="12.28515625" customWidth="1"/>
    <col min="14777" max="14777" width="17.140625" customWidth="1"/>
    <col min="14778" max="14778" width="6.42578125" customWidth="1"/>
    <col min="14779" max="14779" width="10" customWidth="1"/>
    <col min="14780" max="14780" width="6.28515625" customWidth="1"/>
    <col min="14781" max="14781" width="9.42578125" customWidth="1"/>
    <col min="14782" max="14782" width="5.7109375" customWidth="1"/>
    <col min="14783" max="14783" width="9" customWidth="1"/>
    <col min="14784" max="14784" width="5.7109375" customWidth="1"/>
    <col min="14785" max="14785" width="8.28515625" customWidth="1"/>
    <col min="14786" max="14786" width="5.5703125" customWidth="1"/>
    <col min="14787" max="14787" width="8" customWidth="1"/>
    <col min="14788" max="14788" width="5.85546875" customWidth="1"/>
    <col min="14789" max="14789" width="8.85546875" customWidth="1"/>
    <col min="14790" max="14791" width="8" customWidth="1"/>
    <col min="14792" max="14792" width="5.85546875" customWidth="1"/>
    <col min="14793" max="14793" width="6.42578125" customWidth="1"/>
    <col min="14794" max="14794" width="0" hidden="1" customWidth="1"/>
    <col min="14795" max="14795" width="12.42578125" customWidth="1"/>
    <col min="15012" max="15012" width="4.5703125" customWidth="1"/>
    <col min="15013" max="15013" width="30.140625" customWidth="1"/>
    <col min="15014" max="15014" width="0" hidden="1" customWidth="1"/>
    <col min="15015" max="15015" width="8.28515625" customWidth="1"/>
    <col min="15016" max="15016" width="10.140625" customWidth="1"/>
    <col min="15017" max="15017" width="8.85546875" customWidth="1"/>
    <col min="15018" max="15019" width="0" hidden="1" customWidth="1"/>
    <col min="15020" max="15020" width="10.140625" customWidth="1"/>
    <col min="15021" max="15021" width="0" hidden="1" customWidth="1"/>
    <col min="15022" max="15022" width="7.28515625" customWidth="1"/>
    <col min="15023" max="15024" width="0" hidden="1" customWidth="1"/>
    <col min="15025" max="15025" width="12" customWidth="1"/>
    <col min="15026" max="15029" width="0" hidden="1" customWidth="1"/>
    <col min="15030" max="15030" width="10.28515625" customWidth="1"/>
    <col min="15031" max="15031" width="12.28515625" customWidth="1"/>
    <col min="15033" max="15033" width="17.140625" customWidth="1"/>
    <col min="15034" max="15034" width="6.42578125" customWidth="1"/>
    <col min="15035" max="15035" width="10" customWidth="1"/>
    <col min="15036" max="15036" width="6.28515625" customWidth="1"/>
    <col min="15037" max="15037" width="9.42578125" customWidth="1"/>
    <col min="15038" max="15038" width="5.7109375" customWidth="1"/>
    <col min="15039" max="15039" width="9" customWidth="1"/>
    <col min="15040" max="15040" width="5.7109375" customWidth="1"/>
    <col min="15041" max="15041" width="8.28515625" customWidth="1"/>
    <col min="15042" max="15042" width="5.5703125" customWidth="1"/>
    <col min="15043" max="15043" width="8" customWidth="1"/>
    <col min="15044" max="15044" width="5.85546875" customWidth="1"/>
    <col min="15045" max="15045" width="8.85546875" customWidth="1"/>
    <col min="15046" max="15047" width="8" customWidth="1"/>
    <col min="15048" max="15048" width="5.85546875" customWidth="1"/>
    <col min="15049" max="15049" width="6.42578125" customWidth="1"/>
    <col min="15050" max="15050" width="0" hidden="1" customWidth="1"/>
    <col min="15051" max="15051" width="12.42578125" customWidth="1"/>
    <col min="15268" max="15268" width="4.5703125" customWidth="1"/>
    <col min="15269" max="15269" width="30.140625" customWidth="1"/>
    <col min="15270" max="15270" width="0" hidden="1" customWidth="1"/>
    <col min="15271" max="15271" width="8.28515625" customWidth="1"/>
    <col min="15272" max="15272" width="10.140625" customWidth="1"/>
    <col min="15273" max="15273" width="8.85546875" customWidth="1"/>
    <col min="15274" max="15275" width="0" hidden="1" customWidth="1"/>
    <col min="15276" max="15276" width="10.140625" customWidth="1"/>
    <col min="15277" max="15277" width="0" hidden="1" customWidth="1"/>
    <col min="15278" max="15278" width="7.28515625" customWidth="1"/>
    <col min="15279" max="15280" width="0" hidden="1" customWidth="1"/>
    <col min="15281" max="15281" width="12" customWidth="1"/>
    <col min="15282" max="15285" width="0" hidden="1" customWidth="1"/>
    <col min="15286" max="15286" width="10.28515625" customWidth="1"/>
    <col min="15287" max="15287" width="12.28515625" customWidth="1"/>
    <col min="15289" max="15289" width="17.140625" customWidth="1"/>
    <col min="15290" max="15290" width="6.42578125" customWidth="1"/>
    <col min="15291" max="15291" width="10" customWidth="1"/>
    <col min="15292" max="15292" width="6.28515625" customWidth="1"/>
    <col min="15293" max="15293" width="9.42578125" customWidth="1"/>
    <col min="15294" max="15294" width="5.7109375" customWidth="1"/>
    <col min="15295" max="15295" width="9" customWidth="1"/>
    <col min="15296" max="15296" width="5.7109375" customWidth="1"/>
    <col min="15297" max="15297" width="8.28515625" customWidth="1"/>
    <col min="15298" max="15298" width="5.5703125" customWidth="1"/>
    <col min="15299" max="15299" width="8" customWidth="1"/>
    <col min="15300" max="15300" width="5.85546875" customWidth="1"/>
    <col min="15301" max="15301" width="8.85546875" customWidth="1"/>
    <col min="15302" max="15303" width="8" customWidth="1"/>
    <col min="15304" max="15304" width="5.85546875" customWidth="1"/>
    <col min="15305" max="15305" width="6.42578125" customWidth="1"/>
    <col min="15306" max="15306" width="0" hidden="1" customWidth="1"/>
    <col min="15307" max="15307" width="12.42578125" customWidth="1"/>
    <col min="15524" max="15524" width="4.5703125" customWidth="1"/>
    <col min="15525" max="15525" width="30.140625" customWidth="1"/>
    <col min="15526" max="15526" width="0" hidden="1" customWidth="1"/>
    <col min="15527" max="15527" width="8.28515625" customWidth="1"/>
    <col min="15528" max="15528" width="10.140625" customWidth="1"/>
    <col min="15529" max="15529" width="8.85546875" customWidth="1"/>
    <col min="15530" max="15531" width="0" hidden="1" customWidth="1"/>
    <col min="15532" max="15532" width="10.140625" customWidth="1"/>
    <col min="15533" max="15533" width="0" hidden="1" customWidth="1"/>
    <col min="15534" max="15534" width="7.28515625" customWidth="1"/>
    <col min="15535" max="15536" width="0" hidden="1" customWidth="1"/>
    <col min="15537" max="15537" width="12" customWidth="1"/>
    <col min="15538" max="15541" width="0" hidden="1" customWidth="1"/>
    <col min="15542" max="15542" width="10.28515625" customWidth="1"/>
    <col min="15543" max="15543" width="12.28515625" customWidth="1"/>
    <col min="15545" max="15545" width="17.140625" customWidth="1"/>
    <col min="15546" max="15546" width="6.42578125" customWidth="1"/>
    <col min="15547" max="15547" width="10" customWidth="1"/>
    <col min="15548" max="15548" width="6.28515625" customWidth="1"/>
    <col min="15549" max="15549" width="9.42578125" customWidth="1"/>
    <col min="15550" max="15550" width="5.7109375" customWidth="1"/>
    <col min="15551" max="15551" width="9" customWidth="1"/>
    <col min="15552" max="15552" width="5.7109375" customWidth="1"/>
    <col min="15553" max="15553" width="8.28515625" customWidth="1"/>
    <col min="15554" max="15554" width="5.5703125" customWidth="1"/>
    <col min="15555" max="15555" width="8" customWidth="1"/>
    <col min="15556" max="15556" width="5.85546875" customWidth="1"/>
    <col min="15557" max="15557" width="8.85546875" customWidth="1"/>
    <col min="15558" max="15559" width="8" customWidth="1"/>
    <col min="15560" max="15560" width="5.85546875" customWidth="1"/>
    <col min="15561" max="15561" width="6.42578125" customWidth="1"/>
    <col min="15562" max="15562" width="0" hidden="1" customWidth="1"/>
    <col min="15563" max="15563" width="12.42578125" customWidth="1"/>
    <col min="15780" max="15780" width="4.5703125" customWidth="1"/>
    <col min="15781" max="15781" width="30.140625" customWidth="1"/>
    <col min="15782" max="15782" width="0" hidden="1" customWidth="1"/>
    <col min="15783" max="15783" width="8.28515625" customWidth="1"/>
    <col min="15784" max="15784" width="10.140625" customWidth="1"/>
    <col min="15785" max="15785" width="8.85546875" customWidth="1"/>
    <col min="15786" max="15787" width="0" hidden="1" customWidth="1"/>
    <col min="15788" max="15788" width="10.140625" customWidth="1"/>
    <col min="15789" max="15789" width="0" hidden="1" customWidth="1"/>
    <col min="15790" max="15790" width="7.28515625" customWidth="1"/>
    <col min="15791" max="15792" width="0" hidden="1" customWidth="1"/>
    <col min="15793" max="15793" width="12" customWidth="1"/>
    <col min="15794" max="15797" width="0" hidden="1" customWidth="1"/>
    <col min="15798" max="15798" width="10.28515625" customWidth="1"/>
    <col min="15799" max="15799" width="12.28515625" customWidth="1"/>
    <col min="15801" max="15801" width="17.140625" customWidth="1"/>
    <col min="15802" max="15802" width="6.42578125" customWidth="1"/>
    <col min="15803" max="15803" width="10" customWidth="1"/>
    <col min="15804" max="15804" width="6.28515625" customWidth="1"/>
    <col min="15805" max="15805" width="9.42578125" customWidth="1"/>
    <col min="15806" max="15806" width="5.7109375" customWidth="1"/>
    <col min="15807" max="15807" width="9" customWidth="1"/>
    <col min="15808" max="15808" width="5.7109375" customWidth="1"/>
    <col min="15809" max="15809" width="8.28515625" customWidth="1"/>
    <col min="15810" max="15810" width="5.5703125" customWidth="1"/>
    <col min="15811" max="15811" width="8" customWidth="1"/>
    <col min="15812" max="15812" width="5.85546875" customWidth="1"/>
    <col min="15813" max="15813" width="8.85546875" customWidth="1"/>
    <col min="15814" max="15815" width="8" customWidth="1"/>
    <col min="15816" max="15816" width="5.85546875" customWidth="1"/>
    <col min="15817" max="15817" width="6.42578125" customWidth="1"/>
    <col min="15818" max="15818" width="0" hidden="1" customWidth="1"/>
    <col min="15819" max="15819" width="12.42578125" customWidth="1"/>
    <col min="16036" max="16036" width="4.5703125" customWidth="1"/>
    <col min="16037" max="16037" width="30.140625" customWidth="1"/>
    <col min="16038" max="16038" width="0" hidden="1" customWidth="1"/>
    <col min="16039" max="16039" width="8.28515625" customWidth="1"/>
    <col min="16040" max="16040" width="10.140625" customWidth="1"/>
    <col min="16041" max="16041" width="8.85546875" customWidth="1"/>
    <col min="16042" max="16043" width="0" hidden="1" customWidth="1"/>
    <col min="16044" max="16044" width="10.140625" customWidth="1"/>
    <col min="16045" max="16045" width="0" hidden="1" customWidth="1"/>
    <col min="16046" max="16046" width="7.28515625" customWidth="1"/>
    <col min="16047" max="16048" width="0" hidden="1" customWidth="1"/>
    <col min="16049" max="16049" width="12" customWidth="1"/>
    <col min="16050" max="16053" width="0" hidden="1" customWidth="1"/>
    <col min="16054" max="16054" width="10.28515625" customWidth="1"/>
    <col min="16055" max="16055" width="12.28515625" customWidth="1"/>
    <col min="16057" max="16057" width="17.140625" customWidth="1"/>
    <col min="16058" max="16058" width="6.42578125" customWidth="1"/>
    <col min="16059" max="16059" width="10" customWidth="1"/>
    <col min="16060" max="16060" width="6.28515625" customWidth="1"/>
    <col min="16061" max="16061" width="9.42578125" customWidth="1"/>
    <col min="16062" max="16062" width="5.7109375" customWidth="1"/>
    <col min="16063" max="16063" width="9" customWidth="1"/>
    <col min="16064" max="16064" width="5.7109375" customWidth="1"/>
    <col min="16065" max="16065" width="8.28515625" customWidth="1"/>
    <col min="16066" max="16066" width="5.5703125" customWidth="1"/>
    <col min="16067" max="16067" width="8" customWidth="1"/>
    <col min="16068" max="16068" width="5.85546875" customWidth="1"/>
    <col min="16069" max="16069" width="8.85546875" customWidth="1"/>
    <col min="16070" max="16071" width="8" customWidth="1"/>
    <col min="16072" max="16072" width="5.85546875" customWidth="1"/>
    <col min="16073" max="16073" width="6.42578125" customWidth="1"/>
    <col min="16074" max="16074" width="0" hidden="1" customWidth="1"/>
    <col min="16075" max="16075" width="12.42578125" customWidth="1"/>
  </cols>
  <sheetData>
    <row r="2" spans="1:21" ht="20.25" customHeight="1">
      <c r="A2" s="97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1" customFormat="1" ht="20.25">
      <c r="A3" s="96" t="s">
        <v>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8">
      <c r="C4" s="61"/>
      <c r="D4" s="61"/>
      <c r="E4" s="61"/>
      <c r="P4" s="4" t="s">
        <v>0</v>
      </c>
      <c r="R4" s="5"/>
    </row>
    <row r="5" spans="1:21" ht="15.75">
      <c r="B5" s="1"/>
      <c r="C5" s="1"/>
      <c r="E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1" t="s">
        <v>0</v>
      </c>
      <c r="R5" s="61"/>
      <c r="S5" s="1"/>
      <c r="T5" s="60" t="s">
        <v>0</v>
      </c>
      <c r="U5" s="60"/>
    </row>
    <row r="6" spans="1:21">
      <c r="A6" s="1" t="s">
        <v>79</v>
      </c>
      <c r="C6" s="1"/>
      <c r="E6"/>
      <c r="F6"/>
      <c r="G6"/>
      <c r="H6"/>
      <c r="I6"/>
      <c r="J6"/>
      <c r="K6"/>
      <c r="L6"/>
      <c r="M6"/>
      <c r="N6"/>
      <c r="O6"/>
      <c r="P6" s="1" t="s">
        <v>1</v>
      </c>
      <c r="Q6" s="1"/>
      <c r="R6" s="1"/>
      <c r="S6" s="1"/>
    </row>
    <row r="7" spans="1:21" ht="34.5" customHeight="1">
      <c r="A7" s="93" t="s">
        <v>83</v>
      </c>
      <c r="B7" s="102" t="s">
        <v>4</v>
      </c>
      <c r="C7" s="106" t="s">
        <v>2</v>
      </c>
      <c r="D7" s="106"/>
      <c r="E7" s="106"/>
      <c r="F7" s="106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7" t="s">
        <v>3</v>
      </c>
      <c r="S7" s="8"/>
      <c r="T7" s="100" t="s">
        <v>80</v>
      </c>
      <c r="U7" s="101"/>
    </row>
    <row r="8" spans="1:21" ht="32.25" customHeight="1">
      <c r="A8" s="94"/>
      <c r="B8" s="103"/>
      <c r="C8" s="109" t="s">
        <v>5</v>
      </c>
      <c r="D8" s="110"/>
      <c r="E8" s="115" t="s">
        <v>6</v>
      </c>
      <c r="F8" s="116"/>
      <c r="G8" s="84" t="s">
        <v>7</v>
      </c>
      <c r="H8" s="87" t="s">
        <v>8</v>
      </c>
      <c r="I8" s="90" t="s">
        <v>9</v>
      </c>
      <c r="J8" s="87" t="s">
        <v>10</v>
      </c>
      <c r="K8" s="87" t="s">
        <v>11</v>
      </c>
      <c r="L8" s="87" t="s">
        <v>12</v>
      </c>
      <c r="M8" s="87" t="s">
        <v>13</v>
      </c>
      <c r="N8" s="87" t="s">
        <v>14</v>
      </c>
      <c r="O8" s="105" t="s">
        <v>15</v>
      </c>
      <c r="P8" s="87" t="s">
        <v>16</v>
      </c>
      <c r="Q8" s="98" t="s">
        <v>17</v>
      </c>
      <c r="R8" s="9" t="s">
        <v>18</v>
      </c>
      <c r="S8" s="14" t="s">
        <v>19</v>
      </c>
      <c r="T8" s="27" t="s">
        <v>81</v>
      </c>
      <c r="U8" s="25" t="s">
        <v>82</v>
      </c>
    </row>
    <row r="9" spans="1:21" ht="15.75" hidden="1" customHeight="1">
      <c r="A9" s="94"/>
      <c r="B9" s="103"/>
      <c r="C9" s="111"/>
      <c r="D9" s="112"/>
      <c r="E9" s="117"/>
      <c r="F9" s="118"/>
      <c r="G9" s="85"/>
      <c r="H9" s="88"/>
      <c r="I9" s="91"/>
      <c r="J9" s="88"/>
      <c r="K9" s="88"/>
      <c r="L9" s="88"/>
      <c r="M9" s="88"/>
      <c r="N9" s="88"/>
      <c r="O9" s="98"/>
      <c r="P9" s="88"/>
      <c r="Q9" s="98"/>
      <c r="R9" s="9" t="s">
        <v>20</v>
      </c>
      <c r="S9" s="14" t="s">
        <v>21</v>
      </c>
      <c r="T9" s="14"/>
      <c r="U9" s="9"/>
    </row>
    <row r="10" spans="1:21" ht="15" hidden="1" customHeight="1">
      <c r="A10" s="94"/>
      <c r="B10" s="103"/>
      <c r="C10" s="113"/>
      <c r="D10" s="114"/>
      <c r="E10" s="119"/>
      <c r="F10" s="120"/>
      <c r="G10" s="85"/>
      <c r="H10" s="88"/>
      <c r="I10" s="91"/>
      <c r="J10" s="88"/>
      <c r="K10" s="88"/>
      <c r="L10" s="88"/>
      <c r="M10" s="88"/>
      <c r="N10" s="88"/>
      <c r="O10" s="98"/>
      <c r="P10" s="88"/>
      <c r="Q10" s="98"/>
      <c r="R10" s="15" t="s">
        <v>22</v>
      </c>
      <c r="S10" s="16" t="s">
        <v>23</v>
      </c>
      <c r="T10" s="16"/>
      <c r="U10" s="9"/>
    </row>
    <row r="11" spans="1:21" ht="15" hidden="1" customHeight="1">
      <c r="A11" s="94"/>
      <c r="B11" s="103"/>
      <c r="C11" s="17" t="s">
        <v>24</v>
      </c>
      <c r="D11" s="18" t="s">
        <v>25</v>
      </c>
      <c r="E11" s="19" t="s">
        <v>24</v>
      </c>
      <c r="F11" s="18" t="s">
        <v>25</v>
      </c>
      <c r="G11" s="85"/>
      <c r="H11" s="88"/>
      <c r="I11" s="91"/>
      <c r="J11" s="88"/>
      <c r="K11" s="88"/>
      <c r="L11" s="88"/>
      <c r="M11" s="88"/>
      <c r="N11" s="88"/>
      <c r="O11" s="98"/>
      <c r="P11" s="88"/>
      <c r="Q11" s="98"/>
      <c r="R11" s="9" t="s">
        <v>26</v>
      </c>
      <c r="S11" s="14" t="s">
        <v>27</v>
      </c>
      <c r="T11" s="14"/>
      <c r="U11" s="9"/>
    </row>
    <row r="12" spans="1:21" ht="15" hidden="1" customHeight="1">
      <c r="A12" s="95"/>
      <c r="B12" s="104"/>
      <c r="C12" s="21" t="s">
        <v>26</v>
      </c>
      <c r="D12" s="22" t="s">
        <v>28</v>
      </c>
      <c r="E12" s="23" t="s">
        <v>26</v>
      </c>
      <c r="F12" s="22" t="s">
        <v>28</v>
      </c>
      <c r="G12" s="86"/>
      <c r="H12" s="89"/>
      <c r="I12" s="92"/>
      <c r="J12" s="89"/>
      <c r="K12" s="89"/>
      <c r="L12" s="89"/>
      <c r="M12" s="89"/>
      <c r="N12" s="89"/>
      <c r="O12" s="99"/>
      <c r="P12" s="89"/>
      <c r="Q12" s="99"/>
      <c r="R12" s="20"/>
      <c r="S12" s="24" t="s">
        <v>29</v>
      </c>
      <c r="T12" s="24"/>
      <c r="U12" s="20"/>
    </row>
    <row r="13" spans="1:21">
      <c r="A13" s="25">
        <v>1</v>
      </c>
      <c r="B13" s="26" t="s">
        <v>30</v>
      </c>
      <c r="C13" s="25">
        <f>68.1-11.4</f>
        <v>56.699999999999996</v>
      </c>
      <c r="D13" s="27">
        <f t="shared" ref="D13:D61" si="0">C13/4500</f>
        <v>1.2599999999999998E-2</v>
      </c>
      <c r="E13" s="25">
        <f>416.05-69.37</f>
        <v>346.68</v>
      </c>
      <c r="F13" s="27">
        <f>E13/1100</f>
        <v>0.31516363636363637</v>
      </c>
      <c r="G13" s="27">
        <f t="shared" ref="G13:G61" si="1">D13+F13</f>
        <v>0.32776363636363637</v>
      </c>
      <c r="H13" s="27">
        <f>G13*840</f>
        <v>275.32145454545457</v>
      </c>
      <c r="I13" s="27">
        <f>H13*0.1</f>
        <v>27.532145454545457</v>
      </c>
      <c r="J13" s="27">
        <f>H13*0.1</f>
        <v>27.532145454545457</v>
      </c>
      <c r="K13" s="27">
        <f>SUM(H13:J13)</f>
        <v>330.38574545454549</v>
      </c>
      <c r="L13" s="27">
        <f>K13*0.0184</f>
        <v>6.0790977163636368</v>
      </c>
      <c r="M13" s="27">
        <f>G13*7.22</f>
        <v>2.3664534545454545</v>
      </c>
      <c r="N13" s="27">
        <f>H13*0.194</f>
        <v>53.412362181818189</v>
      </c>
      <c r="O13" s="27">
        <f>SUM(K13:N13)</f>
        <v>392.24365880727282</v>
      </c>
      <c r="P13" s="27">
        <f>O13*0.04</f>
        <v>15.689746352290912</v>
      </c>
      <c r="Q13" s="28">
        <f>SUM(O13:P13)</f>
        <v>407.93340515956373</v>
      </c>
      <c r="R13" s="29">
        <v>3323.83</v>
      </c>
      <c r="S13" s="27">
        <f t="shared" ref="S13:S61" si="2">Q13/R13</f>
        <v>0.12272992456279766</v>
      </c>
      <c r="T13" s="27">
        <f>ROUND(S13,3)</f>
        <v>0.123</v>
      </c>
      <c r="U13" s="27">
        <f>T13*1.21</f>
        <v>0.14882999999999999</v>
      </c>
    </row>
    <row r="14" spans="1:21">
      <c r="A14" s="25">
        <v>2</v>
      </c>
      <c r="B14" s="26" t="s">
        <v>31</v>
      </c>
      <c r="C14" s="25">
        <v>16.25</v>
      </c>
      <c r="D14" s="27">
        <f t="shared" si="0"/>
        <v>3.6111111111111109E-3</v>
      </c>
      <c r="E14" s="25">
        <v>130.16999999999999</v>
      </c>
      <c r="F14" s="27">
        <f t="shared" ref="F14:F61" si="3">E14/1100</f>
        <v>0.11833636363636363</v>
      </c>
      <c r="G14" s="27">
        <f t="shared" si="1"/>
        <v>0.12194747474747474</v>
      </c>
      <c r="H14" s="27">
        <f t="shared" ref="H14:H61" si="4">G14*840</f>
        <v>102.43587878787878</v>
      </c>
      <c r="I14" s="27">
        <f t="shared" ref="I14:I61" si="5">H14*0.1</f>
        <v>10.243587878787878</v>
      </c>
      <c r="J14" s="27">
        <f t="shared" ref="J14:J61" si="6">H14*0.1</f>
        <v>10.243587878787878</v>
      </c>
      <c r="K14" s="27">
        <f t="shared" ref="K14:K61" si="7">SUM(H14:J14)</f>
        <v>122.92305454545453</v>
      </c>
      <c r="L14" s="27">
        <f t="shared" ref="L14:L61" si="8">K14*0.0184</f>
        <v>2.2617842036363633</v>
      </c>
      <c r="M14" s="27">
        <f t="shared" ref="M14:M61" si="9">G14*7.22</f>
        <v>0.88046076767676751</v>
      </c>
      <c r="N14" s="27">
        <f t="shared" ref="N14:N61" si="10">H14*0.194</f>
        <v>19.872560484848485</v>
      </c>
      <c r="O14" s="27">
        <f t="shared" ref="O14:O61" si="11">SUM(K14:N14)</f>
        <v>145.93786000161614</v>
      </c>
      <c r="P14" s="27">
        <f t="shared" ref="P14:P61" si="12">O14*0.04</f>
        <v>5.8375144000646459</v>
      </c>
      <c r="Q14" s="28">
        <f t="shared" ref="Q14:Q61" si="13">SUM(O14:P14)</f>
        <v>151.77537440168078</v>
      </c>
      <c r="R14" s="30">
        <v>1381.31</v>
      </c>
      <c r="S14" s="27">
        <f t="shared" si="2"/>
        <v>0.10987785102669262</v>
      </c>
      <c r="T14" s="27">
        <f t="shared" ref="T14:T61" si="14">ROUND(S14,3)</f>
        <v>0.11</v>
      </c>
      <c r="U14" s="27">
        <f t="shared" ref="U14:U63" si="15">T14*1.21</f>
        <v>0.1331</v>
      </c>
    </row>
    <row r="15" spans="1:21">
      <c r="A15" s="25">
        <v>3</v>
      </c>
      <c r="B15" s="26" t="s">
        <v>32</v>
      </c>
      <c r="C15" s="25">
        <v>16</v>
      </c>
      <c r="D15" s="27">
        <f t="shared" si="0"/>
        <v>3.5555555555555557E-3</v>
      </c>
      <c r="E15" s="28">
        <v>127.01</v>
      </c>
      <c r="F15" s="27">
        <f t="shared" si="3"/>
        <v>0.11546363636363637</v>
      </c>
      <c r="G15" s="27">
        <f t="shared" si="1"/>
        <v>0.11901919191919193</v>
      </c>
      <c r="H15" s="27">
        <f t="shared" si="4"/>
        <v>99.976121212121214</v>
      </c>
      <c r="I15" s="27">
        <f t="shared" si="5"/>
        <v>9.9976121212121214</v>
      </c>
      <c r="J15" s="27">
        <f t="shared" si="6"/>
        <v>9.9976121212121214</v>
      </c>
      <c r="K15" s="27">
        <f t="shared" si="7"/>
        <v>119.97134545454546</v>
      </c>
      <c r="L15" s="27">
        <f t="shared" si="8"/>
        <v>2.2074727563636363</v>
      </c>
      <c r="M15" s="27">
        <f t="shared" si="9"/>
        <v>0.85931856565656572</v>
      </c>
      <c r="N15" s="27">
        <f t="shared" si="10"/>
        <v>19.395367515151516</v>
      </c>
      <c r="O15" s="27">
        <f t="shared" si="11"/>
        <v>142.43350429171718</v>
      </c>
      <c r="P15" s="27">
        <f t="shared" si="12"/>
        <v>5.6973401716686878</v>
      </c>
      <c r="Q15" s="28">
        <f t="shared" si="13"/>
        <v>148.13084446338587</v>
      </c>
      <c r="R15" s="30">
        <v>1348.35</v>
      </c>
      <c r="S15" s="27">
        <f t="shared" si="2"/>
        <v>0.10986082579700068</v>
      </c>
      <c r="T15" s="27">
        <f t="shared" si="14"/>
        <v>0.11</v>
      </c>
      <c r="U15" s="27">
        <f t="shared" si="15"/>
        <v>0.1331</v>
      </c>
    </row>
    <row r="16" spans="1:21">
      <c r="A16" s="25">
        <v>4</v>
      </c>
      <c r="B16" s="26" t="s">
        <v>33</v>
      </c>
      <c r="C16" s="25">
        <v>16</v>
      </c>
      <c r="D16" s="27">
        <f t="shared" si="0"/>
        <v>3.5555555555555557E-3</v>
      </c>
      <c r="E16" s="28">
        <v>126.8</v>
      </c>
      <c r="F16" s="27">
        <f t="shared" si="3"/>
        <v>0.11527272727272728</v>
      </c>
      <c r="G16" s="27">
        <f t="shared" si="1"/>
        <v>0.11882828282828284</v>
      </c>
      <c r="H16" s="27">
        <f t="shared" si="4"/>
        <v>99.815757575757587</v>
      </c>
      <c r="I16" s="27">
        <f t="shared" si="5"/>
        <v>9.9815757575757598</v>
      </c>
      <c r="J16" s="27">
        <f t="shared" si="6"/>
        <v>9.9815757575757598</v>
      </c>
      <c r="K16" s="27">
        <f t="shared" si="7"/>
        <v>119.7789090909091</v>
      </c>
      <c r="L16" s="27">
        <f t="shared" si="8"/>
        <v>2.2039319272727274</v>
      </c>
      <c r="M16" s="27">
        <f t="shared" si="9"/>
        <v>0.85794020202020205</v>
      </c>
      <c r="N16" s="27">
        <f t="shared" si="10"/>
        <v>19.364256969696971</v>
      </c>
      <c r="O16" s="27">
        <f t="shared" si="11"/>
        <v>142.205038189899</v>
      </c>
      <c r="P16" s="27">
        <f t="shared" si="12"/>
        <v>5.6882015275959601</v>
      </c>
      <c r="Q16" s="28">
        <f t="shared" si="13"/>
        <v>147.89323971749496</v>
      </c>
      <c r="R16" s="30">
        <v>1346.73</v>
      </c>
      <c r="S16" s="27">
        <f t="shared" si="2"/>
        <v>0.10981654802187146</v>
      </c>
      <c r="T16" s="27">
        <f t="shared" si="14"/>
        <v>0.11</v>
      </c>
      <c r="U16" s="27">
        <f t="shared" si="15"/>
        <v>0.1331</v>
      </c>
    </row>
    <row r="17" spans="1:23">
      <c r="A17" s="25">
        <v>5</v>
      </c>
      <c r="B17" s="26" t="s">
        <v>34</v>
      </c>
      <c r="C17" s="25">
        <v>8</v>
      </c>
      <c r="D17" s="27">
        <f t="shared" si="0"/>
        <v>1.7777777777777779E-3</v>
      </c>
      <c r="E17" s="28">
        <v>64.81</v>
      </c>
      <c r="F17" s="27">
        <f t="shared" si="3"/>
        <v>5.8918181818181821E-2</v>
      </c>
      <c r="G17" s="27">
        <f t="shared" si="1"/>
        <v>6.0695959595959602E-2</v>
      </c>
      <c r="H17" s="27">
        <f t="shared" si="4"/>
        <v>50.984606060606069</v>
      </c>
      <c r="I17" s="27">
        <f t="shared" si="5"/>
        <v>5.0984606060606072</v>
      </c>
      <c r="J17" s="27">
        <f t="shared" si="6"/>
        <v>5.0984606060606072</v>
      </c>
      <c r="K17" s="27">
        <f t="shared" si="7"/>
        <v>61.18152727272728</v>
      </c>
      <c r="L17" s="27">
        <f t="shared" si="8"/>
        <v>1.1257401018181818</v>
      </c>
      <c r="M17" s="27">
        <f t="shared" si="9"/>
        <v>0.43822482828282833</v>
      </c>
      <c r="N17" s="27">
        <f t="shared" si="10"/>
        <v>9.8910135757575777</v>
      </c>
      <c r="O17" s="27">
        <f t="shared" si="11"/>
        <v>72.636505778585871</v>
      </c>
      <c r="P17" s="27">
        <f t="shared" si="12"/>
        <v>2.9054602311434348</v>
      </c>
      <c r="Q17" s="28">
        <f t="shared" si="13"/>
        <v>75.541966009729308</v>
      </c>
      <c r="R17" s="30">
        <v>668.65</v>
      </c>
      <c r="S17" s="27">
        <f t="shared" si="2"/>
        <v>0.1129768429069458</v>
      </c>
      <c r="T17" s="27">
        <f t="shared" si="14"/>
        <v>0.113</v>
      </c>
      <c r="U17" s="27">
        <f t="shared" si="15"/>
        <v>0.13672999999999999</v>
      </c>
    </row>
    <row r="18" spans="1:23">
      <c r="A18" s="25">
        <v>6</v>
      </c>
      <c r="B18" s="26" t="s">
        <v>35</v>
      </c>
      <c r="C18" s="25">
        <v>8</v>
      </c>
      <c r="D18" s="27">
        <f t="shared" si="0"/>
        <v>1.7777777777777779E-3</v>
      </c>
      <c r="E18" s="28">
        <v>65.05</v>
      </c>
      <c r="F18" s="27">
        <f t="shared" si="3"/>
        <v>5.9136363636363633E-2</v>
      </c>
      <c r="G18" s="27">
        <f t="shared" si="1"/>
        <v>6.0914141414141414E-2</v>
      </c>
      <c r="H18" s="27">
        <f t="shared" si="4"/>
        <v>51.167878787878784</v>
      </c>
      <c r="I18" s="27">
        <f t="shared" si="5"/>
        <v>5.1167878787878784</v>
      </c>
      <c r="J18" s="27">
        <f t="shared" si="6"/>
        <v>5.1167878787878784</v>
      </c>
      <c r="K18" s="27">
        <f t="shared" si="7"/>
        <v>61.401454545454541</v>
      </c>
      <c r="L18" s="27">
        <f t="shared" si="8"/>
        <v>1.1297867636363634</v>
      </c>
      <c r="M18" s="27">
        <f t="shared" si="9"/>
        <v>0.43980010101010097</v>
      </c>
      <c r="N18" s="27">
        <f t="shared" si="10"/>
        <v>9.9265684848484845</v>
      </c>
      <c r="O18" s="27">
        <f t="shared" si="11"/>
        <v>72.897609894949483</v>
      </c>
      <c r="P18" s="27">
        <f t="shared" si="12"/>
        <v>2.9159043957979796</v>
      </c>
      <c r="Q18" s="28">
        <f t="shared" si="13"/>
        <v>75.813514290747463</v>
      </c>
      <c r="R18" s="31">
        <v>672.04</v>
      </c>
      <c r="S18" s="27">
        <f t="shared" si="2"/>
        <v>0.1128110146579779</v>
      </c>
      <c r="T18" s="27">
        <f t="shared" si="14"/>
        <v>0.113</v>
      </c>
      <c r="U18" s="27">
        <f t="shared" si="15"/>
        <v>0.13672999999999999</v>
      </c>
    </row>
    <row r="19" spans="1:23">
      <c r="A19" s="25">
        <v>7</v>
      </c>
      <c r="B19" s="26" t="s">
        <v>36</v>
      </c>
      <c r="C19" s="25">
        <f>32.04-8.01</f>
        <v>24.03</v>
      </c>
      <c r="D19" s="27">
        <f t="shared" si="0"/>
        <v>5.3400000000000001E-3</v>
      </c>
      <c r="E19" s="28">
        <f>258.12-64.53</f>
        <v>193.59</v>
      </c>
      <c r="F19" s="27">
        <f t="shared" si="3"/>
        <v>0.17599090909090909</v>
      </c>
      <c r="G19" s="27">
        <f t="shared" si="1"/>
        <v>0.1813309090909091</v>
      </c>
      <c r="H19" s="27">
        <f t="shared" si="4"/>
        <v>152.31796363636363</v>
      </c>
      <c r="I19" s="27">
        <f t="shared" si="5"/>
        <v>15.231796363636363</v>
      </c>
      <c r="J19" s="27">
        <f t="shared" si="6"/>
        <v>15.231796363636363</v>
      </c>
      <c r="K19" s="27">
        <f t="shared" si="7"/>
        <v>182.78155636363635</v>
      </c>
      <c r="L19" s="27">
        <f t="shared" si="8"/>
        <v>3.3631806370909088</v>
      </c>
      <c r="M19" s="27">
        <f t="shared" si="9"/>
        <v>1.3092091636363636</v>
      </c>
      <c r="N19" s="27">
        <f t="shared" si="10"/>
        <v>29.549684945454544</v>
      </c>
      <c r="O19" s="27">
        <f t="shared" si="11"/>
        <v>217.00363110981817</v>
      </c>
      <c r="P19" s="27">
        <f t="shared" si="12"/>
        <v>8.6801452443927278</v>
      </c>
      <c r="Q19" s="28">
        <f t="shared" si="13"/>
        <v>225.68377635421089</v>
      </c>
      <c r="R19" s="30">
        <v>2053.77</v>
      </c>
      <c r="S19" s="27">
        <f t="shared" si="2"/>
        <v>0.10988756109701227</v>
      </c>
      <c r="T19" s="27">
        <f t="shared" si="14"/>
        <v>0.11</v>
      </c>
      <c r="U19" s="27">
        <f t="shared" si="15"/>
        <v>0.1331</v>
      </c>
    </row>
    <row r="20" spans="1:23" ht="15.75">
      <c r="A20" s="25">
        <v>8</v>
      </c>
      <c r="B20" s="26" t="s">
        <v>37</v>
      </c>
      <c r="C20" s="25">
        <f>10.16-5.08</f>
        <v>5.08</v>
      </c>
      <c r="D20" s="27">
        <f t="shared" si="0"/>
        <v>1.1288888888888889E-3</v>
      </c>
      <c r="E20" s="28">
        <f>132.22-66.11</f>
        <v>66.11</v>
      </c>
      <c r="F20" s="27">
        <f t="shared" si="3"/>
        <v>6.0100000000000001E-2</v>
      </c>
      <c r="G20" s="27">
        <f t="shared" si="1"/>
        <v>6.1228888888888888E-2</v>
      </c>
      <c r="H20" s="27">
        <f t="shared" si="4"/>
        <v>51.432266666666663</v>
      </c>
      <c r="I20" s="27">
        <f t="shared" si="5"/>
        <v>5.1432266666666671</v>
      </c>
      <c r="J20" s="27">
        <f t="shared" si="6"/>
        <v>5.1432266666666671</v>
      </c>
      <c r="K20" s="27">
        <f t="shared" si="7"/>
        <v>61.71871999999999</v>
      </c>
      <c r="L20" s="27">
        <f t="shared" si="8"/>
        <v>1.1356244479999997</v>
      </c>
      <c r="M20" s="27">
        <f t="shared" si="9"/>
        <v>0.44207257777777775</v>
      </c>
      <c r="N20" s="27">
        <f t="shared" si="10"/>
        <v>9.9778597333333323</v>
      </c>
      <c r="O20" s="27">
        <f t="shared" si="11"/>
        <v>73.274276759111103</v>
      </c>
      <c r="P20" s="27">
        <f t="shared" si="12"/>
        <v>2.930971070364444</v>
      </c>
      <c r="Q20" s="28">
        <f t="shared" si="13"/>
        <v>76.205247829475553</v>
      </c>
      <c r="R20" s="30">
        <v>732.37</v>
      </c>
      <c r="S20" s="27">
        <f t="shared" si="2"/>
        <v>0.10405293475903649</v>
      </c>
      <c r="T20" s="27">
        <f t="shared" si="14"/>
        <v>0.104</v>
      </c>
      <c r="U20" s="27">
        <f t="shared" si="15"/>
        <v>0.12583999999999998</v>
      </c>
      <c r="V20" s="32"/>
      <c r="W20" s="33"/>
    </row>
    <row r="21" spans="1:23" ht="15.75">
      <c r="A21" s="25">
        <v>9</v>
      </c>
      <c r="B21" s="26" t="s">
        <v>38</v>
      </c>
      <c r="C21" s="25">
        <v>18.73</v>
      </c>
      <c r="D21" s="27">
        <f t="shared" si="0"/>
        <v>4.1622222222222225E-3</v>
      </c>
      <c r="E21" s="28">
        <v>132.05000000000001</v>
      </c>
      <c r="F21" s="27">
        <f t="shared" si="3"/>
        <v>0.12004545454545455</v>
      </c>
      <c r="G21" s="27">
        <f t="shared" si="1"/>
        <v>0.12420767676767677</v>
      </c>
      <c r="H21" s="27">
        <f t="shared" si="4"/>
        <v>104.33444848484849</v>
      </c>
      <c r="I21" s="27">
        <f t="shared" si="5"/>
        <v>10.43344484848485</v>
      </c>
      <c r="J21" s="27">
        <f t="shared" si="6"/>
        <v>10.43344484848485</v>
      </c>
      <c r="K21" s="27">
        <f t="shared" si="7"/>
        <v>125.2013381818182</v>
      </c>
      <c r="L21" s="27">
        <f t="shared" si="8"/>
        <v>2.3037046225454549</v>
      </c>
      <c r="M21" s="27">
        <f t="shared" si="9"/>
        <v>0.8967794262626263</v>
      </c>
      <c r="N21" s="27">
        <f t="shared" si="10"/>
        <v>20.24088300606061</v>
      </c>
      <c r="O21" s="27">
        <f t="shared" si="11"/>
        <v>148.64270523668691</v>
      </c>
      <c r="P21" s="27">
        <f t="shared" si="12"/>
        <v>5.945708209467476</v>
      </c>
      <c r="Q21" s="28">
        <f t="shared" si="13"/>
        <v>154.58841344615439</v>
      </c>
      <c r="R21" s="30">
        <v>1352.5</v>
      </c>
      <c r="S21" s="27">
        <f t="shared" si="2"/>
        <v>0.11429827241859844</v>
      </c>
      <c r="T21" s="27">
        <f t="shared" si="14"/>
        <v>0.114</v>
      </c>
      <c r="U21" s="27">
        <f t="shared" si="15"/>
        <v>0.13794000000000001</v>
      </c>
      <c r="V21" s="34"/>
      <c r="W21" s="33"/>
    </row>
    <row r="22" spans="1:23" ht="15.75">
      <c r="A22" s="25">
        <v>10</v>
      </c>
      <c r="B22" s="26" t="s">
        <v>39</v>
      </c>
      <c r="C22" s="25">
        <v>8</v>
      </c>
      <c r="D22" s="27">
        <f t="shared" si="0"/>
        <v>1.7777777777777779E-3</v>
      </c>
      <c r="E22" s="28">
        <v>63.86</v>
      </c>
      <c r="F22" s="27">
        <f t="shared" si="3"/>
        <v>5.8054545454545456E-2</v>
      </c>
      <c r="G22" s="27">
        <f t="shared" si="1"/>
        <v>5.9832323232323237E-2</v>
      </c>
      <c r="H22" s="27">
        <f t="shared" si="4"/>
        <v>50.259151515151515</v>
      </c>
      <c r="I22" s="27">
        <f t="shared" si="5"/>
        <v>5.0259151515151519</v>
      </c>
      <c r="J22" s="27">
        <f t="shared" si="6"/>
        <v>5.0259151515151519</v>
      </c>
      <c r="K22" s="27">
        <f t="shared" si="7"/>
        <v>60.310981818181816</v>
      </c>
      <c r="L22" s="27">
        <f t="shared" si="8"/>
        <v>1.1097220654545454</v>
      </c>
      <c r="M22" s="27">
        <f t="shared" si="9"/>
        <v>0.43198937373737373</v>
      </c>
      <c r="N22" s="27">
        <f t="shared" si="10"/>
        <v>9.7502753939393951</v>
      </c>
      <c r="O22" s="27">
        <f t="shared" si="11"/>
        <v>71.602968651313134</v>
      </c>
      <c r="P22" s="27">
        <f t="shared" si="12"/>
        <v>2.8641187460525255</v>
      </c>
      <c r="Q22" s="28">
        <f t="shared" si="13"/>
        <v>74.46708739736566</v>
      </c>
      <c r="R22" s="30">
        <v>675.55</v>
      </c>
      <c r="S22" s="27">
        <f t="shared" si="2"/>
        <v>0.11023179246149903</v>
      </c>
      <c r="T22" s="27">
        <f t="shared" si="14"/>
        <v>0.11</v>
      </c>
      <c r="U22" s="27">
        <f t="shared" si="15"/>
        <v>0.1331</v>
      </c>
      <c r="V22" s="32"/>
      <c r="W22" s="33"/>
    </row>
    <row r="23" spans="1:23" ht="15.75">
      <c r="A23" s="25">
        <v>11</v>
      </c>
      <c r="B23" s="26" t="s">
        <v>40</v>
      </c>
      <c r="C23" s="25">
        <v>8</v>
      </c>
      <c r="D23" s="27">
        <f t="shared" si="0"/>
        <v>1.7777777777777779E-3</v>
      </c>
      <c r="E23" s="28">
        <v>63.71</v>
      </c>
      <c r="F23" s="27">
        <f t="shared" si="3"/>
        <v>5.791818181818182E-2</v>
      </c>
      <c r="G23" s="27">
        <f t="shared" si="1"/>
        <v>5.9695959595959601E-2</v>
      </c>
      <c r="H23" s="27">
        <f t="shared" si="4"/>
        <v>50.144606060606066</v>
      </c>
      <c r="I23" s="27">
        <f t="shared" si="5"/>
        <v>5.0144606060606067</v>
      </c>
      <c r="J23" s="27">
        <f t="shared" si="6"/>
        <v>5.0144606060606067</v>
      </c>
      <c r="K23" s="27">
        <f t="shared" si="7"/>
        <v>60.173527272727284</v>
      </c>
      <c r="L23" s="27">
        <f t="shared" si="8"/>
        <v>1.1071929018181821</v>
      </c>
      <c r="M23" s="27">
        <f t="shared" si="9"/>
        <v>0.43100482828282832</v>
      </c>
      <c r="N23" s="27">
        <f t="shared" si="10"/>
        <v>9.7280535757575777</v>
      </c>
      <c r="O23" s="27">
        <f t="shared" si="11"/>
        <v>71.439778578585873</v>
      </c>
      <c r="P23" s="27">
        <f t="shared" si="12"/>
        <v>2.8575911431434351</v>
      </c>
      <c r="Q23" s="28">
        <f t="shared" si="13"/>
        <v>74.297369721729311</v>
      </c>
      <c r="R23" s="30">
        <v>669.95</v>
      </c>
      <c r="S23" s="27">
        <f t="shared" si="2"/>
        <v>0.11089987270949968</v>
      </c>
      <c r="T23" s="27">
        <f t="shared" si="14"/>
        <v>0.111</v>
      </c>
      <c r="U23" s="27">
        <f t="shared" si="15"/>
        <v>0.13430999999999998</v>
      </c>
      <c r="V23" s="33"/>
      <c r="W23" s="33"/>
    </row>
    <row r="24" spans="1:23" ht="15.75">
      <c r="A24" s="25">
        <v>12</v>
      </c>
      <c r="B24" s="26" t="s">
        <v>41</v>
      </c>
      <c r="C24" s="25">
        <f>14-7</f>
        <v>7</v>
      </c>
      <c r="D24" s="27">
        <f t="shared" si="0"/>
        <v>1.5555555555555555E-3</v>
      </c>
      <c r="E24" s="28">
        <f>129.84-64.92</f>
        <v>64.92</v>
      </c>
      <c r="F24" s="27">
        <f t="shared" si="3"/>
        <v>5.9018181818181817E-2</v>
      </c>
      <c r="G24" s="27">
        <f t="shared" si="1"/>
        <v>6.057373737373737E-2</v>
      </c>
      <c r="H24" s="27">
        <f t="shared" si="4"/>
        <v>50.88193939393939</v>
      </c>
      <c r="I24" s="27">
        <f t="shared" si="5"/>
        <v>5.088193939393939</v>
      </c>
      <c r="J24" s="27">
        <f t="shared" si="6"/>
        <v>5.088193939393939</v>
      </c>
      <c r="K24" s="27">
        <f t="shared" si="7"/>
        <v>61.058327272727269</v>
      </c>
      <c r="L24" s="27">
        <f t="shared" si="8"/>
        <v>1.1234732218181818</v>
      </c>
      <c r="M24" s="27">
        <f t="shared" si="9"/>
        <v>0.43734238383838381</v>
      </c>
      <c r="N24" s="27">
        <f t="shared" si="10"/>
        <v>9.8710962424242421</v>
      </c>
      <c r="O24" s="27">
        <f t="shared" si="11"/>
        <v>72.49023912080807</v>
      </c>
      <c r="P24" s="27">
        <f t="shared" si="12"/>
        <v>2.899609564832323</v>
      </c>
      <c r="Q24" s="28">
        <f t="shared" si="13"/>
        <v>75.389848685640388</v>
      </c>
      <c r="R24" s="30">
        <v>691.45</v>
      </c>
      <c r="S24" s="27">
        <f t="shared" si="2"/>
        <v>0.10903152604763958</v>
      </c>
      <c r="T24" s="27">
        <f t="shared" si="14"/>
        <v>0.109</v>
      </c>
      <c r="U24" s="27">
        <f t="shared" si="15"/>
        <v>0.13189000000000001</v>
      </c>
      <c r="V24" s="33"/>
      <c r="W24" s="33"/>
    </row>
    <row r="25" spans="1:23" ht="15.75">
      <c r="A25" s="25">
        <v>13</v>
      </c>
      <c r="B25" s="35" t="s">
        <v>42</v>
      </c>
      <c r="C25" s="36">
        <f>53.16-8.86</f>
        <v>44.3</v>
      </c>
      <c r="D25" s="27">
        <f t="shared" si="0"/>
        <v>9.8444444444444439E-3</v>
      </c>
      <c r="E25" s="30">
        <f>459.38-76.56</f>
        <v>382.82</v>
      </c>
      <c r="F25" s="27">
        <f t="shared" si="3"/>
        <v>0.34801818181818184</v>
      </c>
      <c r="G25" s="27">
        <f t="shared" si="1"/>
        <v>0.35786262626262627</v>
      </c>
      <c r="H25" s="27">
        <f t="shared" si="4"/>
        <v>300.60460606060605</v>
      </c>
      <c r="I25" s="27">
        <f t="shared" si="5"/>
        <v>30.060460606060605</v>
      </c>
      <c r="J25" s="27">
        <f t="shared" si="6"/>
        <v>30.060460606060605</v>
      </c>
      <c r="K25" s="27">
        <f t="shared" si="7"/>
        <v>360.72552727272722</v>
      </c>
      <c r="L25" s="27">
        <f t="shared" si="8"/>
        <v>6.6373497018181808</v>
      </c>
      <c r="M25" s="27">
        <f t="shared" si="9"/>
        <v>2.5837681616161614</v>
      </c>
      <c r="N25" s="27">
        <f t="shared" si="10"/>
        <v>58.317293575757574</v>
      </c>
      <c r="O25" s="27">
        <f t="shared" si="11"/>
        <v>428.26393871191914</v>
      </c>
      <c r="P25" s="27">
        <f t="shared" si="12"/>
        <v>17.130557548476766</v>
      </c>
      <c r="Q25" s="28">
        <f t="shared" si="13"/>
        <v>445.3944962603959</v>
      </c>
      <c r="R25" s="30">
        <v>3516.13</v>
      </c>
      <c r="S25" s="27">
        <f t="shared" si="2"/>
        <v>0.12667179434787562</v>
      </c>
      <c r="T25" s="27">
        <f t="shared" si="14"/>
        <v>0.127</v>
      </c>
      <c r="U25" s="27">
        <f t="shared" si="15"/>
        <v>0.15367</v>
      </c>
      <c r="V25" s="37"/>
      <c r="W25" s="33"/>
    </row>
    <row r="26" spans="1:23" ht="15.75">
      <c r="A26" s="25">
        <v>14</v>
      </c>
      <c r="B26" s="26" t="s">
        <v>43</v>
      </c>
      <c r="C26" s="25">
        <v>49.1</v>
      </c>
      <c r="D26" s="27">
        <f t="shared" si="0"/>
        <v>1.0911111111111111E-2</v>
      </c>
      <c r="E26" s="28">
        <v>290.66000000000003</v>
      </c>
      <c r="F26" s="27">
        <f t="shared" si="3"/>
        <v>0.26423636363636366</v>
      </c>
      <c r="G26" s="27">
        <f t="shared" si="1"/>
        <v>0.27514747474747475</v>
      </c>
      <c r="H26" s="27">
        <f t="shared" si="4"/>
        <v>231.12387878787879</v>
      </c>
      <c r="I26" s="27">
        <f t="shared" si="5"/>
        <v>23.112387878787882</v>
      </c>
      <c r="J26" s="27">
        <f t="shared" si="6"/>
        <v>23.112387878787882</v>
      </c>
      <c r="K26" s="27">
        <f t="shared" si="7"/>
        <v>277.34865454545456</v>
      </c>
      <c r="L26" s="27">
        <f t="shared" si="8"/>
        <v>5.103215243636364</v>
      </c>
      <c r="M26" s="27">
        <f t="shared" si="9"/>
        <v>1.9865647676767677</v>
      </c>
      <c r="N26" s="27">
        <f t="shared" si="10"/>
        <v>44.83803248484849</v>
      </c>
      <c r="O26" s="27">
        <f t="shared" si="11"/>
        <v>329.27646704161623</v>
      </c>
      <c r="P26" s="27">
        <f t="shared" si="12"/>
        <v>13.171058681664649</v>
      </c>
      <c r="Q26" s="28">
        <f t="shared" si="13"/>
        <v>342.44752572328088</v>
      </c>
      <c r="R26" s="30">
        <v>2275.62</v>
      </c>
      <c r="S26" s="27">
        <f t="shared" si="2"/>
        <v>0.15048537353480848</v>
      </c>
      <c r="T26" s="27">
        <f t="shared" si="14"/>
        <v>0.15</v>
      </c>
      <c r="U26" s="27">
        <f t="shared" si="15"/>
        <v>0.18149999999999999</v>
      </c>
      <c r="V26" s="2"/>
      <c r="W26" s="33"/>
    </row>
    <row r="27" spans="1:23" s="38" customFormat="1" ht="15.75">
      <c r="A27" s="25">
        <v>15</v>
      </c>
      <c r="B27" s="26" t="s">
        <v>44</v>
      </c>
      <c r="C27" s="25">
        <v>18.29</v>
      </c>
      <c r="D27" s="27">
        <f t="shared" si="0"/>
        <v>4.0644444444444443E-3</v>
      </c>
      <c r="E27" s="28">
        <v>129.31</v>
      </c>
      <c r="F27" s="27">
        <f t="shared" si="3"/>
        <v>0.11755454545454545</v>
      </c>
      <c r="G27" s="27">
        <f t="shared" si="1"/>
        <v>0.12161898989898989</v>
      </c>
      <c r="H27" s="27">
        <f t="shared" si="4"/>
        <v>102.1599515151515</v>
      </c>
      <c r="I27" s="27">
        <f t="shared" si="5"/>
        <v>10.215995151515152</v>
      </c>
      <c r="J27" s="27">
        <f t="shared" si="6"/>
        <v>10.215995151515152</v>
      </c>
      <c r="K27" s="27">
        <f t="shared" si="7"/>
        <v>122.59194181818182</v>
      </c>
      <c r="L27" s="27">
        <f t="shared" si="8"/>
        <v>2.2556917294545453</v>
      </c>
      <c r="M27" s="27">
        <f t="shared" si="9"/>
        <v>0.87808910707070698</v>
      </c>
      <c r="N27" s="27">
        <f t="shared" si="10"/>
        <v>19.819030593939392</v>
      </c>
      <c r="O27" s="27">
        <f t="shared" si="11"/>
        <v>145.54475324864646</v>
      </c>
      <c r="P27" s="27">
        <f t="shared" si="12"/>
        <v>5.8217901299458585</v>
      </c>
      <c r="Q27" s="28">
        <f t="shared" si="13"/>
        <v>151.36654337859233</v>
      </c>
      <c r="R27" s="30">
        <v>1355.9</v>
      </c>
      <c r="S27" s="27">
        <f t="shared" si="2"/>
        <v>0.11163547708429258</v>
      </c>
      <c r="T27" s="27">
        <f t="shared" si="14"/>
        <v>0.112</v>
      </c>
      <c r="U27" s="27">
        <f t="shared" si="15"/>
        <v>0.13552</v>
      </c>
      <c r="V27" s="33"/>
      <c r="W27" s="33"/>
    </row>
    <row r="28" spans="1:23" ht="15.75">
      <c r="A28" s="25">
        <v>16</v>
      </c>
      <c r="B28" s="26" t="s">
        <v>45</v>
      </c>
      <c r="C28" s="25">
        <v>21.98</v>
      </c>
      <c r="D28" s="27">
        <f t="shared" si="0"/>
        <v>4.8844444444444447E-3</v>
      </c>
      <c r="E28" s="28">
        <v>142.29</v>
      </c>
      <c r="F28" s="27">
        <f t="shared" si="3"/>
        <v>0.12935454545454544</v>
      </c>
      <c r="G28" s="27">
        <f t="shared" si="1"/>
        <v>0.13423898989898989</v>
      </c>
      <c r="H28" s="27">
        <f t="shared" si="4"/>
        <v>112.7607515151515</v>
      </c>
      <c r="I28" s="27">
        <f t="shared" si="5"/>
        <v>11.276075151515151</v>
      </c>
      <c r="J28" s="27">
        <f t="shared" si="6"/>
        <v>11.276075151515151</v>
      </c>
      <c r="K28" s="27">
        <f t="shared" si="7"/>
        <v>135.31290181818181</v>
      </c>
      <c r="L28" s="27">
        <f t="shared" si="8"/>
        <v>2.4897573934545454</v>
      </c>
      <c r="M28" s="27">
        <f t="shared" si="9"/>
        <v>0.96920550707070696</v>
      </c>
      <c r="N28" s="27">
        <f t="shared" si="10"/>
        <v>21.87558579393939</v>
      </c>
      <c r="O28" s="27">
        <f t="shared" si="11"/>
        <v>160.64745051264646</v>
      </c>
      <c r="P28" s="27">
        <f t="shared" si="12"/>
        <v>6.4258980205058585</v>
      </c>
      <c r="Q28" s="28">
        <f t="shared" si="13"/>
        <v>167.07334853315231</v>
      </c>
      <c r="R28" s="31">
        <v>1401.55</v>
      </c>
      <c r="S28" s="27">
        <f t="shared" si="2"/>
        <v>0.11920612788209647</v>
      </c>
      <c r="T28" s="27">
        <f t="shared" si="14"/>
        <v>0.11899999999999999</v>
      </c>
      <c r="U28" s="27">
        <f t="shared" si="15"/>
        <v>0.14398999999999998</v>
      </c>
      <c r="V28" s="2"/>
      <c r="W28" s="33"/>
    </row>
    <row r="29" spans="1:23" ht="15.75">
      <c r="A29" s="25">
        <v>17</v>
      </c>
      <c r="B29" s="39" t="s">
        <v>46</v>
      </c>
      <c r="C29" s="40">
        <f>3.64-1.82</f>
        <v>1.82</v>
      </c>
      <c r="D29" s="27">
        <f t="shared" si="0"/>
        <v>4.0444444444444447E-4</v>
      </c>
      <c r="E29" s="41">
        <f>223.95-111.97</f>
        <v>111.97999999999999</v>
      </c>
      <c r="F29" s="27">
        <f t="shared" si="3"/>
        <v>0.10179999999999999</v>
      </c>
      <c r="G29" s="27">
        <f t="shared" si="1"/>
        <v>0.10220444444444443</v>
      </c>
      <c r="H29" s="27">
        <f t="shared" si="4"/>
        <v>85.851733333333328</v>
      </c>
      <c r="I29" s="27">
        <f t="shared" si="5"/>
        <v>8.5851733333333335</v>
      </c>
      <c r="J29" s="27">
        <f t="shared" si="6"/>
        <v>8.5851733333333335</v>
      </c>
      <c r="K29" s="27">
        <f t="shared" si="7"/>
        <v>103.02207999999999</v>
      </c>
      <c r="L29" s="27">
        <f t="shared" si="8"/>
        <v>1.8956062719999998</v>
      </c>
      <c r="M29" s="27">
        <f t="shared" si="9"/>
        <v>0.73791608888888882</v>
      </c>
      <c r="N29" s="27">
        <f t="shared" si="10"/>
        <v>16.655236266666666</v>
      </c>
      <c r="O29" s="27">
        <f t="shared" si="11"/>
        <v>122.31083862755554</v>
      </c>
      <c r="P29" s="27">
        <f t="shared" si="12"/>
        <v>4.8924335451022216</v>
      </c>
      <c r="Q29" s="28">
        <f t="shared" si="13"/>
        <v>127.20327217265776</v>
      </c>
      <c r="R29" s="30">
        <v>1071.5999999999999</v>
      </c>
      <c r="S29" s="27">
        <f t="shared" si="2"/>
        <v>0.11870406137799344</v>
      </c>
      <c r="T29" s="27">
        <f t="shared" si="14"/>
        <v>0.11899999999999999</v>
      </c>
      <c r="U29" s="27">
        <f t="shared" si="15"/>
        <v>0.14398999999999998</v>
      </c>
      <c r="V29" s="33"/>
      <c r="W29" s="33"/>
    </row>
    <row r="30" spans="1:23" ht="15.75">
      <c r="A30" s="25">
        <v>18</v>
      </c>
      <c r="B30" s="26" t="s">
        <v>47</v>
      </c>
      <c r="C30" s="25">
        <v>44.35</v>
      </c>
      <c r="D30" s="27">
        <f t="shared" si="0"/>
        <v>9.8555555555555566E-3</v>
      </c>
      <c r="E30" s="28">
        <v>291.27999999999997</v>
      </c>
      <c r="F30" s="27">
        <f t="shared" si="3"/>
        <v>0.26479999999999998</v>
      </c>
      <c r="G30" s="27">
        <f t="shared" si="1"/>
        <v>0.27465555555555554</v>
      </c>
      <c r="H30" s="27">
        <f t="shared" si="4"/>
        <v>230.71066666666667</v>
      </c>
      <c r="I30" s="27">
        <f t="shared" si="5"/>
        <v>23.071066666666667</v>
      </c>
      <c r="J30" s="27">
        <f t="shared" si="6"/>
        <v>23.071066666666667</v>
      </c>
      <c r="K30" s="27">
        <f t="shared" si="7"/>
        <v>276.8528</v>
      </c>
      <c r="L30" s="27">
        <f t="shared" si="8"/>
        <v>5.0940915200000001</v>
      </c>
      <c r="M30" s="27">
        <f t="shared" si="9"/>
        <v>1.9830131111111109</v>
      </c>
      <c r="N30" s="27">
        <f t="shared" si="10"/>
        <v>44.757869333333332</v>
      </c>
      <c r="O30" s="27">
        <f t="shared" si="11"/>
        <v>328.68777396444443</v>
      </c>
      <c r="P30" s="27">
        <f t="shared" si="12"/>
        <v>13.147510958577778</v>
      </c>
      <c r="Q30" s="28">
        <f t="shared" si="13"/>
        <v>341.83528492302219</v>
      </c>
      <c r="R30" s="30">
        <v>2791.24</v>
      </c>
      <c r="S30" s="27">
        <f t="shared" si="2"/>
        <v>0.12246717764256108</v>
      </c>
      <c r="T30" s="27">
        <f t="shared" si="14"/>
        <v>0.122</v>
      </c>
      <c r="U30" s="27">
        <f t="shared" si="15"/>
        <v>0.14762</v>
      </c>
      <c r="V30" s="33"/>
    </row>
    <row r="31" spans="1:23" ht="15.75">
      <c r="A31" s="25">
        <v>19</v>
      </c>
      <c r="B31" s="26" t="s">
        <v>48</v>
      </c>
      <c r="C31" s="25">
        <f>37.88-10.37</f>
        <v>27.510000000000005</v>
      </c>
      <c r="D31" s="27">
        <f t="shared" si="0"/>
        <v>6.1133333333333343E-3</v>
      </c>
      <c r="E31" s="28">
        <f>266.85-66.7</f>
        <v>200.15000000000003</v>
      </c>
      <c r="F31" s="27">
        <f t="shared" si="3"/>
        <v>0.18195454545454548</v>
      </c>
      <c r="G31" s="27">
        <f t="shared" si="1"/>
        <v>0.18806787878787881</v>
      </c>
      <c r="H31" s="27">
        <f t="shared" si="4"/>
        <v>157.97701818181821</v>
      </c>
      <c r="I31" s="27">
        <f t="shared" si="5"/>
        <v>15.797701818181821</v>
      </c>
      <c r="J31" s="27">
        <f t="shared" si="6"/>
        <v>15.797701818181821</v>
      </c>
      <c r="K31" s="27">
        <f t="shared" si="7"/>
        <v>189.57242181818185</v>
      </c>
      <c r="L31" s="27">
        <f t="shared" si="8"/>
        <v>3.4881325614545462</v>
      </c>
      <c r="M31" s="27">
        <f t="shared" si="9"/>
        <v>1.3578500848484849</v>
      </c>
      <c r="N31" s="27">
        <f t="shared" si="10"/>
        <v>30.647541527272733</v>
      </c>
      <c r="O31" s="27">
        <f t="shared" si="11"/>
        <v>225.06594599175759</v>
      </c>
      <c r="P31" s="27">
        <f t="shared" si="12"/>
        <v>9.0026378396703031</v>
      </c>
      <c r="Q31" s="28">
        <f t="shared" si="13"/>
        <v>234.0685838314279</v>
      </c>
      <c r="R31" s="30">
        <f>2699.11-671.29</f>
        <v>2027.8200000000002</v>
      </c>
      <c r="S31" s="27">
        <f t="shared" si="2"/>
        <v>0.11542867899094983</v>
      </c>
      <c r="T31" s="27">
        <f t="shared" si="14"/>
        <v>0.115</v>
      </c>
      <c r="U31" s="27">
        <f t="shared" si="15"/>
        <v>0.13915</v>
      </c>
      <c r="V31" s="33"/>
      <c r="W31" s="32"/>
    </row>
    <row r="32" spans="1:23" ht="15.75">
      <c r="A32" s="25">
        <v>20</v>
      </c>
      <c r="B32" s="26" t="s">
        <v>49</v>
      </c>
      <c r="C32" s="42">
        <v>10</v>
      </c>
      <c r="D32" s="27">
        <f t="shared" si="0"/>
        <v>2.2222222222222222E-3</v>
      </c>
      <c r="E32" s="43">
        <v>66.41</v>
      </c>
      <c r="F32" s="27">
        <f t="shared" si="3"/>
        <v>6.0372727272727272E-2</v>
      </c>
      <c r="G32" s="27">
        <f t="shared" si="1"/>
        <v>6.2594949494949495E-2</v>
      </c>
      <c r="H32" s="27">
        <f t="shared" si="4"/>
        <v>52.579757575757576</v>
      </c>
      <c r="I32" s="27">
        <f t="shared" si="5"/>
        <v>5.2579757575757577</v>
      </c>
      <c r="J32" s="27">
        <f t="shared" si="6"/>
        <v>5.2579757575757577</v>
      </c>
      <c r="K32" s="27">
        <f t="shared" si="7"/>
        <v>63.095709090909089</v>
      </c>
      <c r="L32" s="27">
        <f t="shared" si="8"/>
        <v>1.1609610472727272</v>
      </c>
      <c r="M32" s="27">
        <f t="shared" si="9"/>
        <v>0.45193553535353531</v>
      </c>
      <c r="N32" s="27">
        <f t="shared" si="10"/>
        <v>10.200472969696969</v>
      </c>
      <c r="O32" s="27">
        <f t="shared" si="11"/>
        <v>74.909078643232334</v>
      </c>
      <c r="P32" s="27">
        <f t="shared" si="12"/>
        <v>2.9963631457292936</v>
      </c>
      <c r="Q32" s="28">
        <f t="shared" si="13"/>
        <v>77.905441788961625</v>
      </c>
      <c r="R32" s="43">
        <v>680.85</v>
      </c>
      <c r="S32" s="27">
        <f t="shared" si="2"/>
        <v>0.11442379641471928</v>
      </c>
      <c r="T32" s="27">
        <f t="shared" si="14"/>
        <v>0.114</v>
      </c>
      <c r="U32" s="27">
        <f t="shared" si="15"/>
        <v>0.13794000000000001</v>
      </c>
      <c r="V32" s="33"/>
    </row>
    <row r="33" spans="1:23" ht="15.75">
      <c r="A33" s="25">
        <v>21</v>
      </c>
      <c r="B33" s="26" t="s">
        <v>84</v>
      </c>
      <c r="C33" s="42"/>
      <c r="D33" s="27"/>
      <c r="E33" s="4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43"/>
      <c r="S33" s="27"/>
      <c r="T33" s="27">
        <v>0.26600000000000001</v>
      </c>
      <c r="U33" s="27">
        <f t="shared" si="15"/>
        <v>0.32186000000000003</v>
      </c>
      <c r="V33" s="33"/>
    </row>
    <row r="34" spans="1:23" ht="15.75">
      <c r="A34" s="25">
        <v>22</v>
      </c>
      <c r="B34" s="26" t="s">
        <v>85</v>
      </c>
      <c r="C34" s="42"/>
      <c r="D34" s="27"/>
      <c r="E34" s="43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43"/>
      <c r="S34" s="27"/>
      <c r="T34" s="27">
        <v>0.17699999999999999</v>
      </c>
      <c r="U34" s="27">
        <f t="shared" si="15"/>
        <v>0.21416999999999997</v>
      </c>
      <c r="V34" s="33"/>
    </row>
    <row r="35" spans="1:23" ht="15.75">
      <c r="A35" s="25">
        <v>23</v>
      </c>
      <c r="B35" s="26" t="s">
        <v>50</v>
      </c>
      <c r="C35" s="25">
        <f>19-6.3</f>
        <v>12.7</v>
      </c>
      <c r="D35" s="27">
        <f t="shared" si="0"/>
        <v>2.8222222222222221E-3</v>
      </c>
      <c r="E35" s="28">
        <f>192.22-64.07</f>
        <v>128.15</v>
      </c>
      <c r="F35" s="27">
        <f t="shared" si="3"/>
        <v>0.11650000000000001</v>
      </c>
      <c r="G35" s="27">
        <f t="shared" si="1"/>
        <v>0.11932222222222223</v>
      </c>
      <c r="H35" s="27">
        <f t="shared" si="4"/>
        <v>100.23066666666668</v>
      </c>
      <c r="I35" s="27">
        <f t="shared" si="5"/>
        <v>10.023066666666669</v>
      </c>
      <c r="J35" s="27">
        <f t="shared" si="6"/>
        <v>10.023066666666669</v>
      </c>
      <c r="K35" s="27">
        <f t="shared" si="7"/>
        <v>120.27680000000001</v>
      </c>
      <c r="L35" s="27">
        <f t="shared" si="8"/>
        <v>2.2130931199999999</v>
      </c>
      <c r="M35" s="27">
        <f t="shared" si="9"/>
        <v>0.86150644444444446</v>
      </c>
      <c r="N35" s="27">
        <f t="shared" si="10"/>
        <v>19.444749333333338</v>
      </c>
      <c r="O35" s="27">
        <f t="shared" si="11"/>
        <v>142.79614889777778</v>
      </c>
      <c r="P35" s="27">
        <f t="shared" si="12"/>
        <v>5.7118459559111114</v>
      </c>
      <c r="Q35" s="28">
        <f t="shared" si="13"/>
        <v>148.5079948536889</v>
      </c>
      <c r="R35" s="30">
        <v>1465.84</v>
      </c>
      <c r="S35" s="27">
        <f>Q35/R35</f>
        <v>0.10131255447640186</v>
      </c>
      <c r="T35" s="27">
        <f t="shared" si="14"/>
        <v>0.10100000000000001</v>
      </c>
      <c r="U35" s="27">
        <f t="shared" si="15"/>
        <v>0.12221</v>
      </c>
      <c r="V35" s="33"/>
      <c r="W35" s="33"/>
    </row>
    <row r="36" spans="1:23" ht="15.75">
      <c r="A36" s="25">
        <v>24</v>
      </c>
      <c r="B36" s="26" t="s">
        <v>51</v>
      </c>
      <c r="C36" s="25">
        <v>30</v>
      </c>
      <c r="D36" s="27">
        <f t="shared" si="0"/>
        <v>6.6666666666666671E-3</v>
      </c>
      <c r="E36" s="28">
        <v>193.9</v>
      </c>
      <c r="F36" s="27">
        <f t="shared" si="3"/>
        <v>0.17627272727272728</v>
      </c>
      <c r="G36" s="27">
        <f t="shared" si="1"/>
        <v>0.18293939393939393</v>
      </c>
      <c r="H36" s="27">
        <f t="shared" si="4"/>
        <v>153.6690909090909</v>
      </c>
      <c r="I36" s="27">
        <f t="shared" si="5"/>
        <v>15.36690909090909</v>
      </c>
      <c r="J36" s="27">
        <f t="shared" si="6"/>
        <v>15.36690909090909</v>
      </c>
      <c r="K36" s="27">
        <f t="shared" si="7"/>
        <v>184.40290909090908</v>
      </c>
      <c r="L36" s="27">
        <f t="shared" si="8"/>
        <v>3.3930135272727271</v>
      </c>
      <c r="M36" s="27">
        <f t="shared" si="9"/>
        <v>1.320822424242424</v>
      </c>
      <c r="N36" s="27">
        <f t="shared" si="10"/>
        <v>29.811803636363635</v>
      </c>
      <c r="O36" s="27">
        <f t="shared" si="11"/>
        <v>218.92854867878788</v>
      </c>
      <c r="P36" s="27">
        <f t="shared" si="12"/>
        <v>8.7571419471515153</v>
      </c>
      <c r="Q36" s="28">
        <f t="shared" si="13"/>
        <v>227.6856906259394</v>
      </c>
      <c r="R36" s="31">
        <v>2031.01</v>
      </c>
      <c r="S36" s="27">
        <f>Q36/R36</f>
        <v>0.11210466252058798</v>
      </c>
      <c r="T36" s="27">
        <f t="shared" si="14"/>
        <v>0.112</v>
      </c>
      <c r="U36" s="27">
        <f t="shared" si="15"/>
        <v>0.13552</v>
      </c>
      <c r="V36" s="33"/>
      <c r="W36" s="33"/>
    </row>
    <row r="37" spans="1:23" ht="15.75">
      <c r="A37" s="25">
        <v>25</v>
      </c>
      <c r="B37" s="26" t="s">
        <v>52</v>
      </c>
      <c r="C37" s="25">
        <v>20</v>
      </c>
      <c r="D37" s="27">
        <f t="shared" si="0"/>
        <v>4.4444444444444444E-3</v>
      </c>
      <c r="E37" s="28">
        <v>128.38</v>
      </c>
      <c r="F37" s="27">
        <f t="shared" si="3"/>
        <v>0.1167090909090909</v>
      </c>
      <c r="G37" s="27">
        <f t="shared" si="1"/>
        <v>0.12115353535353535</v>
      </c>
      <c r="H37" s="27">
        <f t="shared" si="4"/>
        <v>101.76896969696969</v>
      </c>
      <c r="I37" s="27">
        <f t="shared" si="5"/>
        <v>10.176896969696969</v>
      </c>
      <c r="J37" s="27">
        <f t="shared" si="6"/>
        <v>10.176896969696969</v>
      </c>
      <c r="K37" s="27">
        <f t="shared" si="7"/>
        <v>122.12276363636363</v>
      </c>
      <c r="L37" s="27">
        <f t="shared" si="8"/>
        <v>2.2470588509090907</v>
      </c>
      <c r="M37" s="27">
        <f t="shared" si="9"/>
        <v>0.8747285252525252</v>
      </c>
      <c r="N37" s="27">
        <f t="shared" si="10"/>
        <v>19.74318012121212</v>
      </c>
      <c r="O37" s="27">
        <f t="shared" si="11"/>
        <v>144.98773113373736</v>
      </c>
      <c r="P37" s="27">
        <f t="shared" si="12"/>
        <v>5.7995092453494941</v>
      </c>
      <c r="Q37" s="28">
        <f t="shared" si="13"/>
        <v>150.78724037908685</v>
      </c>
      <c r="R37" s="31">
        <v>1353.73</v>
      </c>
      <c r="S37" s="27">
        <f t="shared" si="2"/>
        <v>0.11138649537137159</v>
      </c>
      <c r="T37" s="27">
        <f t="shared" si="14"/>
        <v>0.111</v>
      </c>
      <c r="U37" s="27">
        <f t="shared" si="15"/>
        <v>0.13430999999999998</v>
      </c>
      <c r="V37" s="33"/>
      <c r="W37" s="33"/>
    </row>
    <row r="38" spans="1:23" ht="15.75">
      <c r="A38" s="25">
        <v>26</v>
      </c>
      <c r="B38" s="26" t="s">
        <v>53</v>
      </c>
      <c r="C38" s="36">
        <v>21</v>
      </c>
      <c r="D38" s="27">
        <f t="shared" si="0"/>
        <v>4.6666666666666671E-3</v>
      </c>
      <c r="E38" s="30">
        <v>194.33</v>
      </c>
      <c r="F38" s="27">
        <f t="shared" si="3"/>
        <v>0.17666363636363638</v>
      </c>
      <c r="G38" s="27">
        <f t="shared" si="1"/>
        <v>0.18133030303030306</v>
      </c>
      <c r="H38" s="27">
        <f t="shared" si="4"/>
        <v>152.31745454545458</v>
      </c>
      <c r="I38" s="27">
        <f t="shared" si="5"/>
        <v>15.231745454545459</v>
      </c>
      <c r="J38" s="27">
        <f t="shared" si="6"/>
        <v>15.231745454545459</v>
      </c>
      <c r="K38" s="27">
        <f t="shared" si="7"/>
        <v>182.7809454545455</v>
      </c>
      <c r="L38" s="27">
        <f t="shared" si="8"/>
        <v>3.3631693963636371</v>
      </c>
      <c r="M38" s="27">
        <f t="shared" si="9"/>
        <v>1.309204787878788</v>
      </c>
      <c r="N38" s="27">
        <f t="shared" si="10"/>
        <v>29.549586181818189</v>
      </c>
      <c r="O38" s="27">
        <f t="shared" si="11"/>
        <v>217.00290582060614</v>
      </c>
      <c r="P38" s="27">
        <f t="shared" si="12"/>
        <v>8.6801162328242452</v>
      </c>
      <c r="Q38" s="28">
        <f t="shared" si="13"/>
        <v>225.68302205343039</v>
      </c>
      <c r="R38" s="30">
        <v>2047.12</v>
      </c>
      <c r="S38" s="27">
        <f t="shared" si="2"/>
        <v>0.11024415864894603</v>
      </c>
      <c r="T38" s="27">
        <f t="shared" si="14"/>
        <v>0.11</v>
      </c>
      <c r="U38" s="27">
        <f t="shared" si="15"/>
        <v>0.1331</v>
      </c>
      <c r="V38" s="33"/>
    </row>
    <row r="39" spans="1:23" ht="15.75">
      <c r="A39" s="25">
        <v>27</v>
      </c>
      <c r="B39" s="26" t="s">
        <v>54</v>
      </c>
      <c r="C39" s="25">
        <v>17</v>
      </c>
      <c r="D39" s="27">
        <f t="shared" si="0"/>
        <v>3.7777777777777779E-3</v>
      </c>
      <c r="E39" s="28">
        <v>200.9</v>
      </c>
      <c r="F39" s="27">
        <f t="shared" si="3"/>
        <v>0.18263636363636365</v>
      </c>
      <c r="G39" s="27">
        <f t="shared" si="1"/>
        <v>0.18641414141414142</v>
      </c>
      <c r="H39" s="27">
        <f t="shared" si="4"/>
        <v>156.58787878787879</v>
      </c>
      <c r="I39" s="27">
        <f t="shared" si="5"/>
        <v>15.65878787878788</v>
      </c>
      <c r="J39" s="27">
        <f t="shared" si="6"/>
        <v>15.65878787878788</v>
      </c>
      <c r="K39" s="27">
        <f t="shared" si="7"/>
        <v>187.90545454545455</v>
      </c>
      <c r="L39" s="27">
        <f t="shared" si="8"/>
        <v>3.4574603636363634</v>
      </c>
      <c r="M39" s="27">
        <f t="shared" si="9"/>
        <v>1.3459101010101011</v>
      </c>
      <c r="N39" s="27">
        <f t="shared" si="10"/>
        <v>30.378048484848488</v>
      </c>
      <c r="O39" s="27">
        <f t="shared" si="11"/>
        <v>223.08687349494949</v>
      </c>
      <c r="P39" s="27">
        <f t="shared" si="12"/>
        <v>8.9234749397979805</v>
      </c>
      <c r="Q39" s="28">
        <f t="shared" si="13"/>
        <v>232.01034843474747</v>
      </c>
      <c r="R39" s="30">
        <v>2199.9299999999998</v>
      </c>
      <c r="S39" s="27">
        <f t="shared" si="2"/>
        <v>0.10546260491685985</v>
      </c>
      <c r="T39" s="27">
        <f t="shared" si="14"/>
        <v>0.105</v>
      </c>
      <c r="U39" s="27">
        <f t="shared" si="15"/>
        <v>0.12705</v>
      </c>
      <c r="V39" s="33"/>
    </row>
    <row r="40" spans="1:23">
      <c r="A40" s="25">
        <v>28</v>
      </c>
      <c r="B40" s="26" t="s">
        <v>55</v>
      </c>
      <c r="C40" s="25">
        <f>16-8</f>
        <v>8</v>
      </c>
      <c r="D40" s="27">
        <f t="shared" si="0"/>
        <v>1.7777777777777779E-3</v>
      </c>
      <c r="E40" s="28">
        <f>127.63-63.82</f>
        <v>63.809999999999995</v>
      </c>
      <c r="F40" s="27">
        <f t="shared" si="3"/>
        <v>5.8009090909090906E-2</v>
      </c>
      <c r="G40" s="27">
        <f t="shared" si="1"/>
        <v>5.9786868686868687E-2</v>
      </c>
      <c r="H40" s="27">
        <f t="shared" si="4"/>
        <v>50.220969696969696</v>
      </c>
      <c r="I40" s="27">
        <f t="shared" si="5"/>
        <v>5.0220969696969702</v>
      </c>
      <c r="J40" s="27">
        <f t="shared" si="6"/>
        <v>5.0220969696969702</v>
      </c>
      <c r="K40" s="27">
        <f t="shared" si="7"/>
        <v>60.265163636363631</v>
      </c>
      <c r="L40" s="27">
        <f t="shared" si="8"/>
        <v>1.1088790109090907</v>
      </c>
      <c r="M40" s="27">
        <f t="shared" si="9"/>
        <v>0.43166119191919189</v>
      </c>
      <c r="N40" s="27">
        <f t="shared" si="10"/>
        <v>9.7428681212121209</v>
      </c>
      <c r="O40" s="27">
        <f t="shared" si="11"/>
        <v>71.548571960404033</v>
      </c>
      <c r="P40" s="27">
        <f t="shared" si="12"/>
        <v>2.8619428784161616</v>
      </c>
      <c r="Q40" s="28">
        <f t="shared" si="13"/>
        <v>74.410514838820191</v>
      </c>
      <c r="R40" s="30">
        <v>655.54</v>
      </c>
      <c r="S40" s="27">
        <f t="shared" si="2"/>
        <v>0.11351025847213014</v>
      </c>
      <c r="T40" s="27">
        <f t="shared" si="14"/>
        <v>0.114</v>
      </c>
      <c r="U40" s="27">
        <f t="shared" si="15"/>
        <v>0.13794000000000001</v>
      </c>
      <c r="V40" s="44"/>
      <c r="W40" s="44"/>
    </row>
    <row r="41" spans="1:23" ht="15.75">
      <c r="A41" s="25">
        <v>29</v>
      </c>
      <c r="B41" s="26" t="s">
        <v>56</v>
      </c>
      <c r="C41" s="25">
        <v>9</v>
      </c>
      <c r="D41" s="27">
        <f t="shared" si="0"/>
        <v>2E-3</v>
      </c>
      <c r="E41" s="28">
        <v>63.93</v>
      </c>
      <c r="F41" s="27">
        <f t="shared" si="3"/>
        <v>5.8118181818181819E-2</v>
      </c>
      <c r="G41" s="27">
        <f t="shared" si="1"/>
        <v>6.0118181818181821E-2</v>
      </c>
      <c r="H41" s="27">
        <f t="shared" si="4"/>
        <v>50.499272727272732</v>
      </c>
      <c r="I41" s="27">
        <f t="shared" si="5"/>
        <v>5.0499272727272739</v>
      </c>
      <c r="J41" s="27">
        <f t="shared" si="6"/>
        <v>5.0499272727272739</v>
      </c>
      <c r="K41" s="27">
        <f t="shared" si="7"/>
        <v>60.59912727272728</v>
      </c>
      <c r="L41" s="27">
        <f t="shared" si="8"/>
        <v>1.115023941818182</v>
      </c>
      <c r="M41" s="27">
        <f t="shared" si="9"/>
        <v>0.43405327272727273</v>
      </c>
      <c r="N41" s="27">
        <f t="shared" si="10"/>
        <v>9.7968589090909095</v>
      </c>
      <c r="O41" s="27">
        <f t="shared" si="11"/>
        <v>71.945063396363651</v>
      </c>
      <c r="P41" s="27">
        <f t="shared" si="12"/>
        <v>2.877802535854546</v>
      </c>
      <c r="Q41" s="28">
        <f t="shared" si="13"/>
        <v>74.822865932218193</v>
      </c>
      <c r="R41" s="30">
        <v>669.92</v>
      </c>
      <c r="S41" s="27">
        <f t="shared" si="2"/>
        <v>0.11168925533230564</v>
      </c>
      <c r="T41" s="27">
        <f t="shared" si="14"/>
        <v>0.112</v>
      </c>
      <c r="U41" s="27">
        <f t="shared" si="15"/>
        <v>0.13552</v>
      </c>
      <c r="V41" s="33"/>
      <c r="W41" s="33"/>
    </row>
    <row r="42" spans="1:23" ht="15.75">
      <c r="A42" s="25">
        <v>30</v>
      </c>
      <c r="B42" s="26" t="s">
        <v>57</v>
      </c>
      <c r="C42" s="25">
        <v>8.16</v>
      </c>
      <c r="D42" s="27">
        <f t="shared" si="0"/>
        <v>1.8133333333333335E-3</v>
      </c>
      <c r="E42" s="28">
        <v>128.5</v>
      </c>
      <c r="F42" s="27">
        <f t="shared" si="3"/>
        <v>0.11681818181818182</v>
      </c>
      <c r="G42" s="27">
        <f t="shared" si="1"/>
        <v>0.11863151515151515</v>
      </c>
      <c r="H42" s="27">
        <f t="shared" si="4"/>
        <v>99.650472727272728</v>
      </c>
      <c r="I42" s="27">
        <f t="shared" si="5"/>
        <v>9.9650472727272739</v>
      </c>
      <c r="J42" s="27">
        <f t="shared" si="6"/>
        <v>9.9650472727272739</v>
      </c>
      <c r="K42" s="27">
        <f t="shared" si="7"/>
        <v>119.58056727272728</v>
      </c>
      <c r="L42" s="27">
        <f t="shared" si="8"/>
        <v>2.2002824378181818</v>
      </c>
      <c r="M42" s="27">
        <f t="shared" si="9"/>
        <v>0.85651953939393943</v>
      </c>
      <c r="N42" s="27">
        <f t="shared" si="10"/>
        <v>19.33219170909091</v>
      </c>
      <c r="O42" s="27">
        <f t="shared" si="11"/>
        <v>141.96956095903033</v>
      </c>
      <c r="P42" s="27">
        <f t="shared" si="12"/>
        <v>5.6787824383612131</v>
      </c>
      <c r="Q42" s="28">
        <f t="shared" si="13"/>
        <v>147.64834339739156</v>
      </c>
      <c r="R42" s="30">
        <v>1465.01</v>
      </c>
      <c r="S42" s="27">
        <f t="shared" si="2"/>
        <v>0.10078316420870272</v>
      </c>
      <c r="T42" s="27">
        <f t="shared" si="14"/>
        <v>0.10100000000000001</v>
      </c>
      <c r="U42" s="27">
        <f t="shared" si="15"/>
        <v>0.12221</v>
      </c>
      <c r="V42" s="33"/>
      <c r="W42" s="33"/>
    </row>
    <row r="43" spans="1:23">
      <c r="A43" s="25">
        <v>31</v>
      </c>
      <c r="B43" s="26" t="s">
        <v>58</v>
      </c>
      <c r="C43" s="25">
        <v>29</v>
      </c>
      <c r="D43" s="27">
        <f t="shared" si="0"/>
        <v>6.4444444444444445E-3</v>
      </c>
      <c r="E43" s="28">
        <v>193.29</v>
      </c>
      <c r="F43" s="27">
        <f t="shared" si="3"/>
        <v>0.1757181818181818</v>
      </c>
      <c r="G43" s="27">
        <f t="shared" si="1"/>
        <v>0.18216262626262625</v>
      </c>
      <c r="H43" s="27">
        <f t="shared" si="4"/>
        <v>153.01660606060605</v>
      </c>
      <c r="I43" s="27">
        <f t="shared" si="5"/>
        <v>15.301660606060606</v>
      </c>
      <c r="J43" s="27">
        <f t="shared" si="6"/>
        <v>15.301660606060606</v>
      </c>
      <c r="K43" s="27">
        <f t="shared" si="7"/>
        <v>183.61992727272727</v>
      </c>
      <c r="L43" s="27">
        <f t="shared" si="8"/>
        <v>3.3786066618181816</v>
      </c>
      <c r="M43" s="27">
        <f t="shared" si="9"/>
        <v>1.3152141616161614</v>
      </c>
      <c r="N43" s="27">
        <f t="shared" si="10"/>
        <v>29.685221575757573</v>
      </c>
      <c r="O43" s="27">
        <f t="shared" si="11"/>
        <v>217.99896967191916</v>
      </c>
      <c r="P43" s="27">
        <f t="shared" si="12"/>
        <v>8.7199587868767665</v>
      </c>
      <c r="Q43" s="28">
        <f t="shared" si="13"/>
        <v>226.71892845879592</v>
      </c>
      <c r="R43" s="30">
        <v>2061.77</v>
      </c>
      <c r="S43" s="27">
        <f t="shared" si="2"/>
        <v>0.10996324927552342</v>
      </c>
      <c r="T43" s="27">
        <f t="shared" si="14"/>
        <v>0.11</v>
      </c>
      <c r="U43" s="27">
        <f t="shared" si="15"/>
        <v>0.1331</v>
      </c>
    </row>
    <row r="44" spans="1:23">
      <c r="A44" s="25">
        <v>32</v>
      </c>
      <c r="B44" s="26" t="s">
        <v>59</v>
      </c>
      <c r="C44" s="25">
        <v>9</v>
      </c>
      <c r="D44" s="27">
        <f t="shared" si="0"/>
        <v>2E-3</v>
      </c>
      <c r="E44" s="28">
        <v>70.13</v>
      </c>
      <c r="F44" s="27">
        <f t="shared" si="3"/>
        <v>6.3754545454545453E-2</v>
      </c>
      <c r="G44" s="27">
        <f t="shared" si="1"/>
        <v>6.5754545454545454E-2</v>
      </c>
      <c r="H44" s="27">
        <f t="shared" si="4"/>
        <v>55.233818181818179</v>
      </c>
      <c r="I44" s="27">
        <f t="shared" si="5"/>
        <v>5.5233818181818179</v>
      </c>
      <c r="J44" s="27">
        <f t="shared" si="6"/>
        <v>5.5233818181818179</v>
      </c>
      <c r="K44" s="27">
        <f t="shared" si="7"/>
        <v>66.280581818181815</v>
      </c>
      <c r="L44" s="27">
        <f t="shared" si="8"/>
        <v>1.2195627054545455</v>
      </c>
      <c r="M44" s="27">
        <f t="shared" si="9"/>
        <v>0.47474781818181816</v>
      </c>
      <c r="N44" s="27">
        <f t="shared" si="10"/>
        <v>10.715360727272728</v>
      </c>
      <c r="O44" s="27">
        <f t="shared" si="11"/>
        <v>78.690253069090915</v>
      </c>
      <c r="P44" s="27">
        <f t="shared" si="12"/>
        <v>3.1476101227636368</v>
      </c>
      <c r="Q44" s="28">
        <f t="shared" si="13"/>
        <v>81.837863191854552</v>
      </c>
      <c r="R44" s="31">
        <v>704.99</v>
      </c>
      <c r="S44" s="27">
        <f t="shared" si="2"/>
        <v>0.11608372202705648</v>
      </c>
      <c r="T44" s="27">
        <f t="shared" si="14"/>
        <v>0.11600000000000001</v>
      </c>
      <c r="U44" s="27">
        <f t="shared" si="15"/>
        <v>0.14036000000000001</v>
      </c>
    </row>
    <row r="45" spans="1:23">
      <c r="A45" s="25">
        <v>33</v>
      </c>
      <c r="B45" s="26" t="s">
        <v>60</v>
      </c>
      <c r="C45" s="25">
        <f>35-8.75</f>
        <v>26.25</v>
      </c>
      <c r="D45" s="27">
        <f t="shared" si="0"/>
        <v>5.8333333333333336E-3</v>
      </c>
      <c r="E45" s="28">
        <f>256.56-64.14</f>
        <v>192.42000000000002</v>
      </c>
      <c r="F45" s="27">
        <f t="shared" si="3"/>
        <v>0.17492727272727274</v>
      </c>
      <c r="G45" s="27">
        <f t="shared" si="1"/>
        <v>0.18076060606060607</v>
      </c>
      <c r="H45" s="27">
        <f t="shared" si="4"/>
        <v>151.83890909090908</v>
      </c>
      <c r="I45" s="27">
        <f t="shared" si="5"/>
        <v>15.183890909090909</v>
      </c>
      <c r="J45" s="27">
        <f t="shared" si="6"/>
        <v>15.183890909090909</v>
      </c>
      <c r="K45" s="27">
        <f t="shared" si="7"/>
        <v>182.2066909090909</v>
      </c>
      <c r="L45" s="27">
        <f t="shared" si="8"/>
        <v>3.3526031127272726</v>
      </c>
      <c r="M45" s="27">
        <f t="shared" si="9"/>
        <v>1.3050915757575758</v>
      </c>
      <c r="N45" s="27">
        <f t="shared" si="10"/>
        <v>29.456748363636365</v>
      </c>
      <c r="O45" s="27">
        <f t="shared" si="11"/>
        <v>216.32113396121213</v>
      </c>
      <c r="P45" s="27">
        <f t="shared" si="12"/>
        <v>8.6528453584484861</v>
      </c>
      <c r="Q45" s="28">
        <f t="shared" si="13"/>
        <v>224.9739793196606</v>
      </c>
      <c r="R45" s="31">
        <v>2050.3000000000002</v>
      </c>
      <c r="S45" s="27">
        <f t="shared" si="2"/>
        <v>0.10972734688565604</v>
      </c>
      <c r="T45" s="27">
        <f t="shared" si="14"/>
        <v>0.11</v>
      </c>
      <c r="U45" s="27">
        <f t="shared" si="15"/>
        <v>0.1331</v>
      </c>
    </row>
    <row r="46" spans="1:23">
      <c r="A46" s="25">
        <v>34</v>
      </c>
      <c r="B46" s="26" t="s">
        <v>61</v>
      </c>
      <c r="C46" s="25">
        <f>19.5-6.5</f>
        <v>13</v>
      </c>
      <c r="D46" s="27">
        <f t="shared" si="0"/>
        <v>2.8888888888888888E-3</v>
      </c>
      <c r="E46" s="28">
        <f>195-65</f>
        <v>130</v>
      </c>
      <c r="F46" s="27">
        <f t="shared" si="3"/>
        <v>0.11818181818181818</v>
      </c>
      <c r="G46" s="27">
        <f t="shared" si="1"/>
        <v>0.12107070707070706</v>
      </c>
      <c r="H46" s="27">
        <f t="shared" si="4"/>
        <v>101.69939393939393</v>
      </c>
      <c r="I46" s="27">
        <f t="shared" si="5"/>
        <v>10.169939393939394</v>
      </c>
      <c r="J46" s="27">
        <f t="shared" si="6"/>
        <v>10.169939393939394</v>
      </c>
      <c r="K46" s="27">
        <f t="shared" si="7"/>
        <v>122.0392727272727</v>
      </c>
      <c r="L46" s="27">
        <f t="shared" si="8"/>
        <v>2.2455226181818175</v>
      </c>
      <c r="M46" s="27">
        <f t="shared" si="9"/>
        <v>0.87413050505050494</v>
      </c>
      <c r="N46" s="27">
        <f t="shared" si="10"/>
        <v>19.729682424242423</v>
      </c>
      <c r="O46" s="27">
        <f t="shared" si="11"/>
        <v>144.88860827474744</v>
      </c>
      <c r="P46" s="27">
        <f t="shared" si="12"/>
        <v>5.7955443309898973</v>
      </c>
      <c r="Q46" s="28">
        <f t="shared" si="13"/>
        <v>150.68415260573732</v>
      </c>
      <c r="R46" s="30">
        <v>1369.05</v>
      </c>
      <c r="S46" s="27">
        <f t="shared" si="2"/>
        <v>0.11006475483418234</v>
      </c>
      <c r="T46" s="27">
        <f t="shared" si="14"/>
        <v>0.11</v>
      </c>
      <c r="U46" s="27">
        <f t="shared" si="15"/>
        <v>0.1331</v>
      </c>
    </row>
    <row r="47" spans="1:23">
      <c r="A47" s="25">
        <v>35</v>
      </c>
      <c r="B47" s="26" t="s">
        <v>62</v>
      </c>
      <c r="C47" s="25">
        <v>4.88</v>
      </c>
      <c r="D47" s="27">
        <f t="shared" si="0"/>
        <v>1.0844444444444445E-3</v>
      </c>
      <c r="E47" s="28">
        <v>225.58</v>
      </c>
      <c r="F47" s="27">
        <f t="shared" si="3"/>
        <v>0.2050727272727273</v>
      </c>
      <c r="G47" s="27">
        <f t="shared" si="1"/>
        <v>0.20615717171717174</v>
      </c>
      <c r="H47" s="27">
        <f t="shared" si="4"/>
        <v>173.17202424242427</v>
      </c>
      <c r="I47" s="27">
        <f t="shared" si="5"/>
        <v>17.317202424242428</v>
      </c>
      <c r="J47" s="27">
        <f t="shared" si="6"/>
        <v>17.317202424242428</v>
      </c>
      <c r="K47" s="27">
        <f t="shared" si="7"/>
        <v>207.80642909090912</v>
      </c>
      <c r="L47" s="27">
        <f t="shared" si="8"/>
        <v>3.8236382952727279</v>
      </c>
      <c r="M47" s="27">
        <f t="shared" si="9"/>
        <v>1.4884547797979799</v>
      </c>
      <c r="N47" s="27">
        <f t="shared" si="10"/>
        <v>33.595372703030307</v>
      </c>
      <c r="O47" s="27">
        <f t="shared" si="11"/>
        <v>246.71389486901015</v>
      </c>
      <c r="P47" s="27">
        <f t="shared" si="12"/>
        <v>9.8685557947604057</v>
      </c>
      <c r="Q47" s="28">
        <f t="shared" si="13"/>
        <v>256.58245066377054</v>
      </c>
      <c r="R47" s="31">
        <v>2174.59</v>
      </c>
      <c r="S47" s="27">
        <f t="shared" si="2"/>
        <v>0.11799118485037204</v>
      </c>
      <c r="T47" s="27">
        <f t="shared" si="14"/>
        <v>0.11799999999999999</v>
      </c>
      <c r="U47" s="27">
        <f t="shared" si="15"/>
        <v>0.14277999999999999</v>
      </c>
    </row>
    <row r="48" spans="1:23">
      <c r="A48" s="25">
        <v>36</v>
      </c>
      <c r="B48" s="26" t="s">
        <v>63</v>
      </c>
      <c r="C48" s="25">
        <v>6.74</v>
      </c>
      <c r="D48" s="27">
        <f t="shared" si="0"/>
        <v>1.4977777777777778E-3</v>
      </c>
      <c r="E48" s="28">
        <v>230.71</v>
      </c>
      <c r="F48" s="27">
        <f t="shared" si="3"/>
        <v>0.20973636363636364</v>
      </c>
      <c r="G48" s="27">
        <f t="shared" si="1"/>
        <v>0.2112341414141414</v>
      </c>
      <c r="H48" s="27">
        <f t="shared" si="4"/>
        <v>177.43667878787878</v>
      </c>
      <c r="I48" s="27">
        <f t="shared" si="5"/>
        <v>17.743667878787878</v>
      </c>
      <c r="J48" s="27">
        <f t="shared" si="6"/>
        <v>17.743667878787878</v>
      </c>
      <c r="K48" s="27">
        <f t="shared" si="7"/>
        <v>212.92401454545453</v>
      </c>
      <c r="L48" s="27">
        <f t="shared" si="8"/>
        <v>3.9178018676363631</v>
      </c>
      <c r="M48" s="27">
        <f t="shared" si="9"/>
        <v>1.5251105010101009</v>
      </c>
      <c r="N48" s="27">
        <f t="shared" si="10"/>
        <v>34.422715684848484</v>
      </c>
      <c r="O48" s="27">
        <f t="shared" si="11"/>
        <v>252.78964259894946</v>
      </c>
      <c r="P48" s="27">
        <f t="shared" si="12"/>
        <v>10.111585703957978</v>
      </c>
      <c r="Q48" s="28">
        <f t="shared" si="13"/>
        <v>262.90122830290744</v>
      </c>
      <c r="R48" s="30">
        <v>1980.11</v>
      </c>
      <c r="S48" s="27">
        <f t="shared" si="2"/>
        <v>0.1327710219648946</v>
      </c>
      <c r="T48" s="27">
        <f t="shared" si="14"/>
        <v>0.13300000000000001</v>
      </c>
      <c r="U48" s="27">
        <f t="shared" si="15"/>
        <v>0.16093000000000002</v>
      </c>
    </row>
    <row r="49" spans="1:21">
      <c r="A49" s="25">
        <v>37</v>
      </c>
      <c r="B49" s="26" t="s">
        <v>64</v>
      </c>
      <c r="C49" s="25">
        <v>2.2200000000000002</v>
      </c>
      <c r="D49" s="27">
        <f t="shared" si="0"/>
        <v>4.9333333333333336E-4</v>
      </c>
      <c r="E49" s="28">
        <v>111.95</v>
      </c>
      <c r="F49" s="27">
        <f t="shared" si="3"/>
        <v>0.10177272727272728</v>
      </c>
      <c r="G49" s="27">
        <f t="shared" si="1"/>
        <v>0.10226606060606061</v>
      </c>
      <c r="H49" s="27">
        <f t="shared" si="4"/>
        <v>85.90349090909092</v>
      </c>
      <c r="I49" s="27">
        <f t="shared" si="5"/>
        <v>8.5903490909090916</v>
      </c>
      <c r="J49" s="27">
        <f t="shared" si="6"/>
        <v>8.5903490909090916</v>
      </c>
      <c r="K49" s="27">
        <f t="shared" si="7"/>
        <v>103.08418909090909</v>
      </c>
      <c r="L49" s="27">
        <f t="shared" si="8"/>
        <v>1.8967490792727273</v>
      </c>
      <c r="M49" s="27">
        <f t="shared" si="9"/>
        <v>0.73836095757575759</v>
      </c>
      <c r="N49" s="27">
        <f t="shared" si="10"/>
        <v>16.665277236363639</v>
      </c>
      <c r="O49" s="27">
        <f t="shared" si="11"/>
        <v>122.38457636412122</v>
      </c>
      <c r="P49" s="27">
        <f t="shared" si="12"/>
        <v>4.8953830545648485</v>
      </c>
      <c r="Q49" s="28">
        <f t="shared" si="13"/>
        <v>127.27995941868606</v>
      </c>
      <c r="R49" s="30">
        <v>1070.45</v>
      </c>
      <c r="S49" s="27">
        <f t="shared" si="2"/>
        <v>0.11890322707149896</v>
      </c>
      <c r="T49" s="27">
        <f t="shared" si="14"/>
        <v>0.11899999999999999</v>
      </c>
      <c r="U49" s="27">
        <f t="shared" si="15"/>
        <v>0.14398999999999998</v>
      </c>
    </row>
    <row r="50" spans="1:21">
      <c r="A50" s="25">
        <v>38</v>
      </c>
      <c r="B50" s="26" t="s">
        <v>234</v>
      </c>
      <c r="C50" s="25">
        <v>5.07</v>
      </c>
      <c r="D50" s="27">
        <f t="shared" si="0"/>
        <v>1.1266666666666667E-3</v>
      </c>
      <c r="E50" s="28">
        <v>222.98</v>
      </c>
      <c r="F50" s="27">
        <f t="shared" si="3"/>
        <v>0.20270909090909089</v>
      </c>
      <c r="G50" s="27">
        <f t="shared" si="1"/>
        <v>0.20383575757575756</v>
      </c>
      <c r="H50" s="27">
        <f t="shared" si="4"/>
        <v>171.22203636363636</v>
      </c>
      <c r="I50" s="27">
        <f t="shared" si="5"/>
        <v>17.122203636363636</v>
      </c>
      <c r="J50" s="27">
        <f t="shared" si="6"/>
        <v>17.122203636363636</v>
      </c>
      <c r="K50" s="27">
        <f t="shared" si="7"/>
        <v>205.46644363636364</v>
      </c>
      <c r="L50" s="27">
        <f t="shared" si="8"/>
        <v>3.7805825629090908</v>
      </c>
      <c r="M50" s="27">
        <f t="shared" si="9"/>
        <v>1.4716941696969694</v>
      </c>
      <c r="N50" s="27">
        <f t="shared" si="10"/>
        <v>33.217075054545454</v>
      </c>
      <c r="O50" s="27">
        <f t="shared" si="11"/>
        <v>243.93579542351517</v>
      </c>
      <c r="P50" s="27">
        <f t="shared" si="12"/>
        <v>9.757431816940608</v>
      </c>
      <c r="Q50" s="28">
        <f t="shared" si="13"/>
        <v>253.69322724045577</v>
      </c>
      <c r="R50" s="31">
        <v>2163.8000000000002</v>
      </c>
      <c r="S50" s="27">
        <f t="shared" si="2"/>
        <v>0.11724430503764477</v>
      </c>
      <c r="T50" s="27">
        <f t="shared" si="14"/>
        <v>0.11700000000000001</v>
      </c>
      <c r="U50" s="27">
        <f t="shared" si="15"/>
        <v>0.14157</v>
      </c>
    </row>
    <row r="51" spans="1:21">
      <c r="A51" s="25">
        <v>39</v>
      </c>
      <c r="B51" s="26" t="s">
        <v>65</v>
      </c>
      <c r="C51" s="25">
        <v>3.59</v>
      </c>
      <c r="D51" s="27">
        <f t="shared" si="0"/>
        <v>7.9777777777777779E-4</v>
      </c>
      <c r="E51" s="28">
        <v>115.5</v>
      </c>
      <c r="F51" s="27">
        <f t="shared" si="3"/>
        <v>0.105</v>
      </c>
      <c r="G51" s="27">
        <f t="shared" si="1"/>
        <v>0.10579777777777777</v>
      </c>
      <c r="H51" s="27">
        <f t="shared" si="4"/>
        <v>88.870133333333328</v>
      </c>
      <c r="I51" s="27">
        <f t="shared" si="5"/>
        <v>8.8870133333333339</v>
      </c>
      <c r="J51" s="27">
        <f t="shared" si="6"/>
        <v>8.8870133333333339</v>
      </c>
      <c r="K51" s="27">
        <f t="shared" si="7"/>
        <v>106.64415999999999</v>
      </c>
      <c r="L51" s="27">
        <f t="shared" si="8"/>
        <v>1.9622525439999996</v>
      </c>
      <c r="M51" s="27">
        <f t="shared" si="9"/>
        <v>0.76385995555555541</v>
      </c>
      <c r="N51" s="27">
        <f t="shared" si="10"/>
        <v>17.240805866666665</v>
      </c>
      <c r="O51" s="27">
        <f t="shared" si="11"/>
        <v>126.6110783662222</v>
      </c>
      <c r="P51" s="27">
        <f t="shared" si="12"/>
        <v>5.0644431346488883</v>
      </c>
      <c r="Q51" s="28">
        <f t="shared" si="13"/>
        <v>131.6755215008711</v>
      </c>
      <c r="R51" s="30">
        <v>987.38</v>
      </c>
      <c r="S51" s="27">
        <f t="shared" si="2"/>
        <v>0.13335850584463033</v>
      </c>
      <c r="T51" s="27">
        <f t="shared" si="14"/>
        <v>0.13300000000000001</v>
      </c>
      <c r="U51" s="27">
        <f t="shared" si="15"/>
        <v>0.16093000000000002</v>
      </c>
    </row>
    <row r="52" spans="1:21">
      <c r="A52" s="25">
        <v>40</v>
      </c>
      <c r="B52" s="26" t="s">
        <v>66</v>
      </c>
      <c r="C52" s="25">
        <f>5.91-2.95</f>
        <v>2.96</v>
      </c>
      <c r="D52" s="27">
        <f t="shared" si="0"/>
        <v>6.5777777777777774E-4</v>
      </c>
      <c r="E52" s="28">
        <f>244.66-122.33</f>
        <v>122.33</v>
      </c>
      <c r="F52" s="27">
        <f t="shared" si="3"/>
        <v>0.11120909090909091</v>
      </c>
      <c r="G52" s="27">
        <f t="shared" si="1"/>
        <v>0.11186686868686868</v>
      </c>
      <c r="H52" s="27">
        <f t="shared" si="4"/>
        <v>93.968169696969696</v>
      </c>
      <c r="I52" s="27">
        <f t="shared" si="5"/>
        <v>9.3968169696969692</v>
      </c>
      <c r="J52" s="27">
        <f t="shared" si="6"/>
        <v>9.3968169696969692</v>
      </c>
      <c r="K52" s="27">
        <f t="shared" si="7"/>
        <v>112.76180363636364</v>
      </c>
      <c r="L52" s="27">
        <f t="shared" si="8"/>
        <v>2.0748171869090908</v>
      </c>
      <c r="M52" s="27">
        <f t="shared" si="9"/>
        <v>0.8076787919191919</v>
      </c>
      <c r="N52" s="27">
        <f t="shared" si="10"/>
        <v>18.229824921212121</v>
      </c>
      <c r="O52" s="27">
        <f t="shared" si="11"/>
        <v>133.87412453640403</v>
      </c>
      <c r="P52" s="27">
        <f t="shared" si="12"/>
        <v>5.3549649814561615</v>
      </c>
      <c r="Q52" s="28">
        <f t="shared" si="13"/>
        <v>139.22908951786019</v>
      </c>
      <c r="R52" s="30">
        <v>970.25</v>
      </c>
      <c r="S52" s="27">
        <f t="shared" si="2"/>
        <v>0.14349815977104891</v>
      </c>
      <c r="T52" s="27">
        <f t="shared" si="14"/>
        <v>0.14299999999999999</v>
      </c>
      <c r="U52" s="27">
        <f t="shared" si="15"/>
        <v>0.17302999999999999</v>
      </c>
    </row>
    <row r="53" spans="1:21">
      <c r="A53" s="25">
        <v>41</v>
      </c>
      <c r="B53" s="26" t="s">
        <v>67</v>
      </c>
      <c r="C53" s="25">
        <v>2.2400000000000002</v>
      </c>
      <c r="D53" s="27">
        <f t="shared" si="0"/>
        <v>4.9777777777777787E-4</v>
      </c>
      <c r="E53" s="28">
        <v>111.88</v>
      </c>
      <c r="F53" s="27">
        <f t="shared" si="3"/>
        <v>0.1017090909090909</v>
      </c>
      <c r="G53" s="27">
        <f t="shared" si="1"/>
        <v>0.10220686868686868</v>
      </c>
      <c r="H53" s="27">
        <f t="shared" si="4"/>
        <v>85.853769696969692</v>
      </c>
      <c r="I53" s="27">
        <f t="shared" si="5"/>
        <v>8.58537696969697</v>
      </c>
      <c r="J53" s="27">
        <f t="shared" si="6"/>
        <v>8.58537696969697</v>
      </c>
      <c r="K53" s="27">
        <f t="shared" si="7"/>
        <v>103.02452363636363</v>
      </c>
      <c r="L53" s="27">
        <f t="shared" si="8"/>
        <v>1.8956512349090906</v>
      </c>
      <c r="M53" s="27">
        <f t="shared" si="9"/>
        <v>0.73793359191919183</v>
      </c>
      <c r="N53" s="27">
        <f t="shared" si="10"/>
        <v>16.65563132121212</v>
      </c>
      <c r="O53" s="27">
        <f t="shared" si="11"/>
        <v>122.31373978440402</v>
      </c>
      <c r="P53" s="27">
        <f t="shared" si="12"/>
        <v>4.8925495913761612</v>
      </c>
      <c r="Q53" s="28">
        <f t="shared" si="13"/>
        <v>127.20628937578019</v>
      </c>
      <c r="R53" s="30">
        <v>1075.3499999999999</v>
      </c>
      <c r="S53" s="27">
        <f t="shared" si="2"/>
        <v>0.11829291800416628</v>
      </c>
      <c r="T53" s="27">
        <f t="shared" si="14"/>
        <v>0.11799999999999999</v>
      </c>
      <c r="U53" s="27">
        <f t="shared" si="15"/>
        <v>0.14277999999999999</v>
      </c>
    </row>
    <row r="54" spans="1:21">
      <c r="A54" s="25">
        <v>42</v>
      </c>
      <c r="B54" s="26" t="s">
        <v>68</v>
      </c>
      <c r="C54" s="25">
        <v>3.81</v>
      </c>
      <c r="D54" s="27">
        <f t="shared" si="0"/>
        <v>8.4666666666666668E-4</v>
      </c>
      <c r="E54" s="28">
        <v>65.2</v>
      </c>
      <c r="F54" s="27">
        <f t="shared" si="3"/>
        <v>5.9272727272727276E-2</v>
      </c>
      <c r="G54" s="27">
        <f t="shared" si="1"/>
        <v>6.0119393939393945E-2</v>
      </c>
      <c r="H54" s="27">
        <f t="shared" si="4"/>
        <v>50.500290909090914</v>
      </c>
      <c r="I54" s="27">
        <f t="shared" si="5"/>
        <v>5.0500290909090921</v>
      </c>
      <c r="J54" s="27">
        <f t="shared" si="6"/>
        <v>5.0500290909090921</v>
      </c>
      <c r="K54" s="27">
        <f t="shared" si="7"/>
        <v>60.600349090909098</v>
      </c>
      <c r="L54" s="27">
        <f t="shared" si="8"/>
        <v>1.1150464232727273</v>
      </c>
      <c r="M54" s="27">
        <f t="shared" si="9"/>
        <v>0.43406202424242429</v>
      </c>
      <c r="N54" s="27">
        <f t="shared" si="10"/>
        <v>9.7970564363636381</v>
      </c>
      <c r="O54" s="27">
        <f t="shared" si="11"/>
        <v>71.946513974787891</v>
      </c>
      <c r="P54" s="27">
        <f t="shared" si="12"/>
        <v>2.8778605589915158</v>
      </c>
      <c r="Q54" s="28">
        <f t="shared" si="13"/>
        <v>74.824374533779405</v>
      </c>
      <c r="R54" s="30">
        <v>727.59</v>
      </c>
      <c r="S54" s="27">
        <f t="shared" si="2"/>
        <v>0.10283865162217651</v>
      </c>
      <c r="T54" s="27">
        <f t="shared" si="14"/>
        <v>0.10299999999999999</v>
      </c>
      <c r="U54" s="27">
        <f t="shared" si="15"/>
        <v>0.12462999999999999</v>
      </c>
    </row>
    <row r="55" spans="1:21">
      <c r="A55" s="25">
        <v>43</v>
      </c>
      <c r="B55" s="26" t="s">
        <v>69</v>
      </c>
      <c r="C55" s="25">
        <v>6.77</v>
      </c>
      <c r="D55" s="27">
        <f t="shared" si="0"/>
        <v>1.5044444444444443E-3</v>
      </c>
      <c r="E55" s="28">
        <v>338.43</v>
      </c>
      <c r="F55" s="27">
        <f t="shared" si="3"/>
        <v>0.30766363636363636</v>
      </c>
      <c r="G55" s="27">
        <f t="shared" si="1"/>
        <v>0.30916808080808078</v>
      </c>
      <c r="H55" s="27">
        <f t="shared" si="4"/>
        <v>259.70118787878783</v>
      </c>
      <c r="I55" s="27">
        <f t="shared" si="5"/>
        <v>25.970118787878786</v>
      </c>
      <c r="J55" s="27">
        <f t="shared" si="6"/>
        <v>25.970118787878786</v>
      </c>
      <c r="K55" s="27">
        <f t="shared" si="7"/>
        <v>311.64142545454541</v>
      </c>
      <c r="L55" s="27">
        <f t="shared" si="8"/>
        <v>5.7342022283636354</v>
      </c>
      <c r="M55" s="27">
        <f t="shared" si="9"/>
        <v>2.232193543434343</v>
      </c>
      <c r="N55" s="27">
        <f t="shared" si="10"/>
        <v>50.382030448484841</v>
      </c>
      <c r="O55" s="27">
        <f t="shared" si="11"/>
        <v>369.98985167482823</v>
      </c>
      <c r="P55" s="27">
        <f t="shared" si="12"/>
        <v>14.79959406699313</v>
      </c>
      <c r="Q55" s="28">
        <f t="shared" si="13"/>
        <v>384.78944574182134</v>
      </c>
      <c r="R55" s="30">
        <v>3239.52</v>
      </c>
      <c r="S55" s="27">
        <f t="shared" si="2"/>
        <v>0.11877977161487546</v>
      </c>
      <c r="T55" s="27">
        <f t="shared" si="14"/>
        <v>0.11899999999999999</v>
      </c>
      <c r="U55" s="27">
        <f t="shared" si="15"/>
        <v>0.14398999999999998</v>
      </c>
    </row>
    <row r="56" spans="1:21">
      <c r="A56" s="25">
        <v>44</v>
      </c>
      <c r="B56" s="26" t="s">
        <v>70</v>
      </c>
      <c r="C56" s="25">
        <v>2.1800000000000002</v>
      </c>
      <c r="D56" s="27">
        <f t="shared" si="0"/>
        <v>4.8444444444444446E-4</v>
      </c>
      <c r="E56" s="28">
        <v>112.99</v>
      </c>
      <c r="F56" s="27">
        <f t="shared" si="3"/>
        <v>0.10271818181818182</v>
      </c>
      <c r="G56" s="27">
        <f t="shared" si="1"/>
        <v>0.10320262626262626</v>
      </c>
      <c r="H56" s="27">
        <f t="shared" si="4"/>
        <v>86.690206060606059</v>
      </c>
      <c r="I56" s="27">
        <f t="shared" si="5"/>
        <v>8.6690206060606059</v>
      </c>
      <c r="J56" s="27">
        <f t="shared" si="6"/>
        <v>8.6690206060606059</v>
      </c>
      <c r="K56" s="27">
        <f t="shared" si="7"/>
        <v>104.02824727272727</v>
      </c>
      <c r="L56" s="27">
        <f t="shared" si="8"/>
        <v>1.9141197498181817</v>
      </c>
      <c r="M56" s="27">
        <f t="shared" si="9"/>
        <v>0.74512296161616154</v>
      </c>
      <c r="N56" s="27">
        <f t="shared" si="10"/>
        <v>16.817899975757577</v>
      </c>
      <c r="O56" s="27">
        <f t="shared" si="11"/>
        <v>123.5053899599192</v>
      </c>
      <c r="P56" s="27">
        <f t="shared" si="12"/>
        <v>4.9402155983967679</v>
      </c>
      <c r="Q56" s="28">
        <f t="shared" si="13"/>
        <v>128.44560555831598</v>
      </c>
      <c r="R56" s="30">
        <v>1070.67</v>
      </c>
      <c r="S56" s="27">
        <f t="shared" si="2"/>
        <v>0.11996750217930452</v>
      </c>
      <c r="T56" s="27">
        <f t="shared" si="14"/>
        <v>0.12</v>
      </c>
      <c r="U56" s="27">
        <f t="shared" si="15"/>
        <v>0.1452</v>
      </c>
    </row>
    <row r="57" spans="1:21">
      <c r="A57" s="25">
        <v>45</v>
      </c>
      <c r="B57" s="26" t="s">
        <v>71</v>
      </c>
      <c r="C57" s="25">
        <v>4</v>
      </c>
      <c r="D57" s="27">
        <f t="shared" si="0"/>
        <v>8.8888888888888893E-4</v>
      </c>
      <c r="E57" s="28">
        <v>225.88</v>
      </c>
      <c r="F57" s="27">
        <f t="shared" si="3"/>
        <v>0.20534545454545455</v>
      </c>
      <c r="G57" s="27">
        <f t="shared" si="1"/>
        <v>0.20623434343434344</v>
      </c>
      <c r="H57" s="27">
        <f t="shared" si="4"/>
        <v>173.23684848484848</v>
      </c>
      <c r="I57" s="27">
        <f t="shared" si="5"/>
        <v>17.323684848484849</v>
      </c>
      <c r="J57" s="27">
        <f t="shared" si="6"/>
        <v>17.323684848484849</v>
      </c>
      <c r="K57" s="27">
        <f t="shared" si="7"/>
        <v>207.88421818181817</v>
      </c>
      <c r="L57" s="27">
        <f t="shared" si="8"/>
        <v>3.8250696145454541</v>
      </c>
      <c r="M57" s="27">
        <f t="shared" si="9"/>
        <v>1.4890119595959597</v>
      </c>
      <c r="N57" s="27">
        <f t="shared" si="10"/>
        <v>33.607948606060603</v>
      </c>
      <c r="O57" s="27">
        <f t="shared" si="11"/>
        <v>246.80624836202017</v>
      </c>
      <c r="P57" s="27">
        <f t="shared" si="12"/>
        <v>9.8722499344808075</v>
      </c>
      <c r="Q57" s="28">
        <f t="shared" si="13"/>
        <v>256.678498296501</v>
      </c>
      <c r="R57" s="31">
        <v>2163.0700000000002</v>
      </c>
      <c r="S57" s="27">
        <f t="shared" si="2"/>
        <v>0.11866398142293175</v>
      </c>
      <c r="T57" s="27">
        <f t="shared" si="14"/>
        <v>0.11899999999999999</v>
      </c>
      <c r="U57" s="27">
        <f t="shared" si="15"/>
        <v>0.14398999999999998</v>
      </c>
    </row>
    <row r="58" spans="1:21" ht="14.25" customHeight="1">
      <c r="A58" s="25">
        <v>46</v>
      </c>
      <c r="B58" s="26" t="s">
        <v>72</v>
      </c>
      <c r="C58" s="25">
        <v>12.64</v>
      </c>
      <c r="D58" s="27">
        <f t="shared" si="0"/>
        <v>2.808888888888889E-3</v>
      </c>
      <c r="E58" s="28">
        <v>131.37</v>
      </c>
      <c r="F58" s="27">
        <f t="shared" si="3"/>
        <v>0.11942727272727273</v>
      </c>
      <c r="G58" s="27">
        <f t="shared" si="1"/>
        <v>0.12223616161616162</v>
      </c>
      <c r="H58" s="27">
        <f t="shared" si="4"/>
        <v>102.67837575757576</v>
      </c>
      <c r="I58" s="27">
        <f t="shared" si="5"/>
        <v>10.267837575757577</v>
      </c>
      <c r="J58" s="27">
        <f t="shared" si="6"/>
        <v>10.267837575757577</v>
      </c>
      <c r="K58" s="27">
        <f t="shared" si="7"/>
        <v>123.21405090909093</v>
      </c>
      <c r="L58" s="27">
        <f t="shared" si="8"/>
        <v>2.2671385367272729</v>
      </c>
      <c r="M58" s="27">
        <f t="shared" si="9"/>
        <v>0.88254508686868682</v>
      </c>
      <c r="N58" s="27">
        <f t="shared" si="10"/>
        <v>19.919604896969698</v>
      </c>
      <c r="O58" s="27">
        <f t="shared" si="11"/>
        <v>146.28333942965659</v>
      </c>
      <c r="P58" s="27">
        <f t="shared" si="12"/>
        <v>5.8513335771862636</v>
      </c>
      <c r="Q58" s="28">
        <f t="shared" si="13"/>
        <v>152.13467300684286</v>
      </c>
      <c r="R58" s="30">
        <v>1355.7</v>
      </c>
      <c r="S58" s="27">
        <f t="shared" si="2"/>
        <v>0.11221853876731051</v>
      </c>
      <c r="T58" s="27">
        <f t="shared" si="14"/>
        <v>0.112</v>
      </c>
      <c r="U58" s="27">
        <f t="shared" si="15"/>
        <v>0.13552</v>
      </c>
    </row>
    <row r="59" spans="1:21">
      <c r="A59" s="25">
        <v>47</v>
      </c>
      <c r="B59" s="26" t="s">
        <v>73</v>
      </c>
      <c r="C59" s="25">
        <v>7.62</v>
      </c>
      <c r="D59" s="27">
        <f t="shared" si="0"/>
        <v>1.6933333333333334E-3</v>
      </c>
      <c r="E59" s="28">
        <v>130.38</v>
      </c>
      <c r="F59" s="27">
        <f t="shared" si="3"/>
        <v>0.11852727272727272</v>
      </c>
      <c r="G59" s="27">
        <f t="shared" si="1"/>
        <v>0.12022060606060606</v>
      </c>
      <c r="H59" s="27">
        <f t="shared" si="4"/>
        <v>100.98530909090908</v>
      </c>
      <c r="I59" s="27">
        <f t="shared" si="5"/>
        <v>10.098530909090909</v>
      </c>
      <c r="J59" s="27">
        <f t="shared" si="6"/>
        <v>10.098530909090909</v>
      </c>
      <c r="K59" s="27">
        <f t="shared" si="7"/>
        <v>121.18237090909091</v>
      </c>
      <c r="L59" s="27">
        <f t="shared" si="8"/>
        <v>2.2297556247272725</v>
      </c>
      <c r="M59" s="27">
        <f t="shared" si="9"/>
        <v>0.86799277575757572</v>
      </c>
      <c r="N59" s="27">
        <f t="shared" si="10"/>
        <v>19.591149963636362</v>
      </c>
      <c r="O59" s="27">
        <f t="shared" si="11"/>
        <v>143.87126927321211</v>
      </c>
      <c r="P59" s="27">
        <f t="shared" si="12"/>
        <v>5.754850770928484</v>
      </c>
      <c r="Q59" s="28">
        <f t="shared" si="13"/>
        <v>149.62612004414058</v>
      </c>
      <c r="R59" s="30">
        <v>1459.85</v>
      </c>
      <c r="S59" s="27">
        <f t="shared" si="2"/>
        <v>0.10249417408921505</v>
      </c>
      <c r="T59" s="27">
        <f t="shared" si="14"/>
        <v>0.10199999999999999</v>
      </c>
      <c r="U59" s="27">
        <f t="shared" si="15"/>
        <v>0.12341999999999999</v>
      </c>
    </row>
    <row r="60" spans="1:21">
      <c r="A60" s="25">
        <v>48</v>
      </c>
      <c r="B60" s="26" t="s">
        <v>74</v>
      </c>
      <c r="C60" s="25">
        <f>32-8-8</f>
        <v>16</v>
      </c>
      <c r="D60" s="27">
        <f t="shared" si="0"/>
        <v>3.5555555555555557E-3</v>
      </c>
      <c r="E60" s="28">
        <f>251.95-63.59-62.8</f>
        <v>125.55999999999999</v>
      </c>
      <c r="F60" s="27">
        <f t="shared" si="3"/>
        <v>0.11414545454545454</v>
      </c>
      <c r="G60" s="27">
        <f t="shared" si="1"/>
        <v>0.1177010101010101</v>
      </c>
      <c r="H60" s="27">
        <f t="shared" si="4"/>
        <v>98.868848484848485</v>
      </c>
      <c r="I60" s="27">
        <f t="shared" si="5"/>
        <v>9.8868848484848488</v>
      </c>
      <c r="J60" s="27">
        <f t="shared" si="6"/>
        <v>9.8868848484848488</v>
      </c>
      <c r="K60" s="27">
        <f t="shared" si="7"/>
        <v>118.64261818181819</v>
      </c>
      <c r="L60" s="27">
        <f t="shared" si="8"/>
        <v>2.1830241745454546</v>
      </c>
      <c r="M60" s="27">
        <f t="shared" si="9"/>
        <v>0.84980129292929285</v>
      </c>
      <c r="N60" s="27">
        <f t="shared" si="10"/>
        <v>19.180556606060605</v>
      </c>
      <c r="O60" s="27">
        <f t="shared" si="11"/>
        <v>140.85600025535354</v>
      </c>
      <c r="P60" s="27">
        <f t="shared" si="12"/>
        <v>5.6342400102141417</v>
      </c>
      <c r="Q60" s="28">
        <f t="shared" si="13"/>
        <v>146.49024026556768</v>
      </c>
      <c r="R60" s="30">
        <v>1344.43</v>
      </c>
      <c r="S60" s="27">
        <f t="shared" si="2"/>
        <v>0.10896085349595566</v>
      </c>
      <c r="T60" s="27">
        <f t="shared" si="14"/>
        <v>0.109</v>
      </c>
      <c r="U60" s="27">
        <f t="shared" si="15"/>
        <v>0.13189000000000001</v>
      </c>
    </row>
    <row r="61" spans="1:21">
      <c r="A61" s="25">
        <v>49</v>
      </c>
      <c r="B61" s="26" t="s">
        <v>75</v>
      </c>
      <c r="C61" s="25">
        <v>2.31</v>
      </c>
      <c r="D61" s="27">
        <f t="shared" si="0"/>
        <v>5.1333333333333331E-4</v>
      </c>
      <c r="E61" s="28">
        <v>113.12</v>
      </c>
      <c r="F61" s="27">
        <f t="shared" si="3"/>
        <v>0.10283636363636364</v>
      </c>
      <c r="G61" s="27">
        <f t="shared" si="1"/>
        <v>0.10334969696969698</v>
      </c>
      <c r="H61" s="27">
        <f t="shared" si="4"/>
        <v>86.813745454545469</v>
      </c>
      <c r="I61" s="27">
        <f t="shared" si="5"/>
        <v>8.6813745454545472</v>
      </c>
      <c r="J61" s="27">
        <f t="shared" si="6"/>
        <v>8.6813745454545472</v>
      </c>
      <c r="K61" s="27">
        <f t="shared" si="7"/>
        <v>104.17649454545456</v>
      </c>
      <c r="L61" s="27">
        <f t="shared" si="8"/>
        <v>1.9168474996363638</v>
      </c>
      <c r="M61" s="27">
        <f t="shared" si="9"/>
        <v>0.74618481212121213</v>
      </c>
      <c r="N61" s="27">
        <f t="shared" si="10"/>
        <v>16.841866618181822</v>
      </c>
      <c r="O61" s="27">
        <f t="shared" si="11"/>
        <v>123.68139347539396</v>
      </c>
      <c r="P61" s="27">
        <f t="shared" si="12"/>
        <v>4.9472557390157581</v>
      </c>
      <c r="Q61" s="28">
        <f t="shared" si="13"/>
        <v>128.62864921440971</v>
      </c>
      <c r="R61" s="30">
        <v>1071.45</v>
      </c>
      <c r="S61" s="27">
        <f t="shared" si="2"/>
        <v>0.12005100491335079</v>
      </c>
      <c r="T61" s="27">
        <f t="shared" si="14"/>
        <v>0.12</v>
      </c>
      <c r="U61" s="27">
        <f t="shared" si="15"/>
        <v>0.1452</v>
      </c>
    </row>
    <row r="62" spans="1:21" hidden="1">
      <c r="A62" s="25"/>
      <c r="B62" s="26"/>
      <c r="C62" s="25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0"/>
      <c r="S62" s="27">
        <f>SUM(S13:S61)</f>
        <v>5.4138634813609681</v>
      </c>
      <c r="T62" s="46">
        <f>SUM(T13:T61)</f>
        <v>5.8550000000000004</v>
      </c>
      <c r="U62" s="27">
        <f t="shared" si="15"/>
        <v>7.0845500000000001</v>
      </c>
    </row>
    <row r="63" spans="1:21" hidden="1">
      <c r="A63" s="25"/>
      <c r="B63" s="26" t="s">
        <v>76</v>
      </c>
      <c r="C63" s="47">
        <f t="shared" ref="C63:R63" si="16">SUM(C13:C62)</f>
        <v>695.28</v>
      </c>
      <c r="D63" s="25">
        <f t="shared" si="16"/>
        <v>0.15450666666666668</v>
      </c>
      <c r="E63" s="48">
        <f t="shared" si="16"/>
        <v>7131.2599999999993</v>
      </c>
      <c r="F63" s="49">
        <f t="shared" si="16"/>
        <v>6.4829636363636363</v>
      </c>
      <c r="G63" s="50">
        <f t="shared" si="16"/>
        <v>6.6374703030303026</v>
      </c>
      <c r="H63" s="30">
        <f t="shared" si="16"/>
        <v>5575.4750545454544</v>
      </c>
      <c r="I63" s="30">
        <f t="shared" si="16"/>
        <v>557.54750545454556</v>
      </c>
      <c r="J63" s="30">
        <f t="shared" si="16"/>
        <v>557.54750545454556</v>
      </c>
      <c r="K63" s="30">
        <f t="shared" si="16"/>
        <v>6690.5700654545444</v>
      </c>
      <c r="L63" s="30">
        <f t="shared" si="16"/>
        <v>123.10648920436364</v>
      </c>
      <c r="M63" s="30">
        <f t="shared" si="16"/>
        <v>47.922535587878784</v>
      </c>
      <c r="N63" s="30">
        <f t="shared" si="16"/>
        <v>1081.6421605818184</v>
      </c>
      <c r="O63" s="30">
        <f t="shared" si="16"/>
        <v>7943.2412508286061</v>
      </c>
      <c r="P63" s="30">
        <f t="shared" si="16"/>
        <v>317.72965003314425</v>
      </c>
      <c r="Q63" s="30">
        <f t="shared" si="16"/>
        <v>8260.9709008617501</v>
      </c>
      <c r="R63" s="28">
        <f t="shared" si="16"/>
        <v>70965.62999999999</v>
      </c>
      <c r="S63" s="27">
        <f>Q63/R63</f>
        <v>0.11640805416455474</v>
      </c>
      <c r="T63" s="27">
        <f>Q63/R63</f>
        <v>0.11640805416455474</v>
      </c>
      <c r="U63" s="27">
        <f t="shared" si="15"/>
        <v>0.14085374553911123</v>
      </c>
    </row>
    <row r="64" spans="1:21"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6:18"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6:18"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6:18"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6:18"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6:18"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6:18"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6:18"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6:18"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6:18"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6:18"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6:18"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6:18"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6:18"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6:18"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6:18"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6:18"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6:18"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6:18"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6:18"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6:18"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6:18"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6:18"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6:18"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6:18"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6:18"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6:18"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6:18"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6:18"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6:18"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6:18"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6:18"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6:18"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3:18"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3:18"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3:18"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3:18"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3:18"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3:18"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3:18"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3:18"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3:18"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3:18"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3:18"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3:18"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3:18"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3:18">
      <c r="C110" s="52"/>
      <c r="D110" s="52"/>
      <c r="E110" s="53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3:18"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3:18"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6:18"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6:18"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6:18"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6:18"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6:18"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6:18"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6:18"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6:18"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6:18"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6:18"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6:18"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6:18"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6:18"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6:18"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6:18"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6:18"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6:18"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6:18"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6:18"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6:18"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6:18"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6:18"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6:18"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6:18"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6:18"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6:18"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6:18"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6:18"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6:18"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6:18"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6:18"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6:18"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6:18"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6:18"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6:18"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6:18"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6:18"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6:18"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6:18"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6:18"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6:18"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6:18"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6:18"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6:18"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6:18"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6:18"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6:18"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6:18"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6:18"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6:18"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6:18"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6:18"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6:18"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6:18"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6:18"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6:18"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6:18"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6:18"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6:18"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6:18"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6:18"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6:18"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6:18"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6:18"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21"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21"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21"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1:21"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1:21"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1:21"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21"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1:21"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21"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21"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21"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1:21"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21"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21"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1:21"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21" s="54" customFormat="1">
      <c r="A192" s="2"/>
      <c r="B192"/>
      <c r="C192"/>
      <c r="D192"/>
      <c r="E192" s="2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6"/>
      <c r="T192" s="56"/>
      <c r="U192" s="56"/>
    </row>
    <row r="193" spans="1:21"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21" s="55" customFormat="1" ht="15.75">
      <c r="A194" s="2"/>
      <c r="B194"/>
      <c r="C194"/>
      <c r="D194"/>
      <c r="E194" s="2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6"/>
      <c r="T194" s="58"/>
      <c r="U194" s="58"/>
    </row>
    <row r="195" spans="1:21">
      <c r="A195" s="56"/>
      <c r="C195" s="54"/>
      <c r="D195" s="54"/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1"/>
    </row>
    <row r="196" spans="1:21"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21" ht="15.75">
      <c r="A197" s="58"/>
      <c r="C197" s="55"/>
      <c r="D197" s="55"/>
      <c r="E197" s="58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1"/>
    </row>
    <row r="198" spans="1:21"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</sheetData>
  <mergeCells count="20">
    <mergeCell ref="A3:U3"/>
    <mergeCell ref="A2:U2"/>
    <mergeCell ref="Q8:Q12"/>
    <mergeCell ref="T7:U7"/>
    <mergeCell ref="B7:B12"/>
    <mergeCell ref="K8:K12"/>
    <mergeCell ref="L8:L12"/>
    <mergeCell ref="M8:M12"/>
    <mergeCell ref="N8:N12"/>
    <mergeCell ref="O8:O12"/>
    <mergeCell ref="P8:P12"/>
    <mergeCell ref="C7:F7"/>
    <mergeCell ref="G7:Q7"/>
    <mergeCell ref="C8:D10"/>
    <mergeCell ref="E8:F10"/>
    <mergeCell ref="G8:G12"/>
    <mergeCell ref="H8:H12"/>
    <mergeCell ref="I8:I12"/>
    <mergeCell ref="J8:J12"/>
    <mergeCell ref="A7:A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135A-28ED-423F-B536-4693619C0B45}">
  <dimension ref="A2:AR294"/>
  <sheetViews>
    <sheetView tabSelected="1" topLeftCell="A10" workbookViewId="0">
      <selection activeCell="W14" sqref="W14:AA14"/>
    </sheetView>
  </sheetViews>
  <sheetFormatPr defaultRowHeight="15"/>
  <cols>
    <col min="1" max="1" width="5.28515625" style="2" customWidth="1"/>
    <col min="2" max="2" width="35.7109375" customWidth="1"/>
    <col min="3" max="3" width="10" hidden="1" customWidth="1"/>
    <col min="4" max="4" width="6.42578125" hidden="1" customWidth="1"/>
    <col min="5" max="5" width="9.5703125" hidden="1" customWidth="1"/>
    <col min="6" max="6" width="6.85546875" style="2" hidden="1" customWidth="1"/>
    <col min="7" max="7" width="7.42578125" style="2" hidden="1" customWidth="1"/>
    <col min="8" max="8" width="9.7109375" style="2" hidden="1" customWidth="1"/>
    <col min="9" max="9" width="11.5703125" style="2" hidden="1" customWidth="1"/>
    <col min="10" max="10" width="0" style="6" hidden="1" customWidth="1"/>
    <col min="11" max="11" width="11" hidden="1" customWidth="1"/>
    <col min="12" max="12" width="8.28515625" hidden="1" customWidth="1"/>
    <col min="13" max="14" width="0" hidden="1" customWidth="1"/>
    <col min="15" max="15" width="9.5703125" hidden="1" customWidth="1"/>
    <col min="16" max="16" width="0" hidden="1" customWidth="1"/>
    <col min="17" max="17" width="10.140625" hidden="1" customWidth="1"/>
    <col min="18" max="18" width="11.140625" hidden="1" customWidth="1"/>
    <col min="19" max="19" width="0" hidden="1" customWidth="1"/>
    <col min="20" max="20" width="10.5703125" style="2" customWidth="1"/>
    <col min="21" max="21" width="11.5703125" style="2" customWidth="1"/>
    <col min="29" max="29" width="22" customWidth="1"/>
    <col min="30" max="43" width="0" hidden="1" customWidth="1"/>
    <col min="86" max="86" width="4.5703125" customWidth="1"/>
    <col min="87" max="87" width="30.140625" customWidth="1"/>
    <col min="88" max="88" width="0" hidden="1" customWidth="1"/>
    <col min="89" max="89" width="8.28515625" customWidth="1"/>
    <col min="90" max="90" width="10.140625" customWidth="1"/>
    <col min="91" max="91" width="8.85546875" customWidth="1"/>
    <col min="92" max="93" width="0" hidden="1" customWidth="1"/>
    <col min="94" max="94" width="10.140625" customWidth="1"/>
    <col min="95" max="95" width="0" hidden="1" customWidth="1"/>
    <col min="96" max="96" width="7.28515625" customWidth="1"/>
    <col min="97" max="98" width="0" hidden="1" customWidth="1"/>
    <col min="99" max="99" width="12" customWidth="1"/>
    <col min="100" max="103" width="0" hidden="1" customWidth="1"/>
    <col min="104" max="104" width="10.28515625" customWidth="1"/>
    <col min="105" max="105" width="12.28515625" customWidth="1"/>
    <col min="107" max="107" width="17.140625" customWidth="1"/>
    <col min="108" max="108" width="6.42578125" customWidth="1"/>
    <col min="109" max="109" width="10" customWidth="1"/>
    <col min="110" max="110" width="6.28515625" customWidth="1"/>
    <col min="111" max="111" width="9.42578125" customWidth="1"/>
    <col min="112" max="112" width="5.7109375" customWidth="1"/>
    <col min="113" max="113" width="9" customWidth="1"/>
    <col min="114" max="114" width="5.7109375" customWidth="1"/>
    <col min="115" max="115" width="8.28515625" customWidth="1"/>
    <col min="116" max="116" width="5.5703125" customWidth="1"/>
    <col min="117" max="117" width="8" customWidth="1"/>
    <col min="118" max="118" width="5.85546875" customWidth="1"/>
    <col min="119" max="119" width="8.85546875" customWidth="1"/>
    <col min="120" max="121" width="8" customWidth="1"/>
    <col min="122" max="122" width="5.85546875" customWidth="1"/>
    <col min="123" max="123" width="6.42578125" customWidth="1"/>
    <col min="124" max="124" width="0" hidden="1" customWidth="1"/>
    <col min="125" max="125" width="12.42578125" customWidth="1"/>
    <col min="342" max="342" width="4.5703125" customWidth="1"/>
    <col min="343" max="343" width="30.140625" customWidth="1"/>
    <col min="344" max="344" width="0" hidden="1" customWidth="1"/>
    <col min="345" max="345" width="8.28515625" customWidth="1"/>
    <col min="346" max="346" width="10.140625" customWidth="1"/>
    <col min="347" max="347" width="8.85546875" customWidth="1"/>
    <col min="348" max="349" width="0" hidden="1" customWidth="1"/>
    <col min="350" max="350" width="10.140625" customWidth="1"/>
    <col min="351" max="351" width="0" hidden="1" customWidth="1"/>
    <col min="352" max="352" width="7.28515625" customWidth="1"/>
    <col min="353" max="354" width="0" hidden="1" customWidth="1"/>
    <col min="355" max="355" width="12" customWidth="1"/>
    <col min="356" max="359" width="0" hidden="1" customWidth="1"/>
    <col min="360" max="360" width="10.28515625" customWidth="1"/>
    <col min="361" max="361" width="12.28515625" customWidth="1"/>
    <col min="363" max="363" width="17.140625" customWidth="1"/>
    <col min="364" max="364" width="6.42578125" customWidth="1"/>
    <col min="365" max="365" width="10" customWidth="1"/>
    <col min="366" max="366" width="6.28515625" customWidth="1"/>
    <col min="367" max="367" width="9.42578125" customWidth="1"/>
    <col min="368" max="368" width="5.7109375" customWidth="1"/>
    <col min="369" max="369" width="9" customWidth="1"/>
    <col min="370" max="370" width="5.7109375" customWidth="1"/>
    <col min="371" max="371" width="8.28515625" customWidth="1"/>
    <col min="372" max="372" width="5.5703125" customWidth="1"/>
    <col min="373" max="373" width="8" customWidth="1"/>
    <col min="374" max="374" width="5.85546875" customWidth="1"/>
    <col min="375" max="375" width="8.85546875" customWidth="1"/>
    <col min="376" max="377" width="8" customWidth="1"/>
    <col min="378" max="378" width="5.85546875" customWidth="1"/>
    <col min="379" max="379" width="6.42578125" customWidth="1"/>
    <col min="380" max="380" width="0" hidden="1" customWidth="1"/>
    <col min="381" max="381" width="12.42578125" customWidth="1"/>
    <col min="598" max="598" width="4.5703125" customWidth="1"/>
    <col min="599" max="599" width="30.140625" customWidth="1"/>
    <col min="600" max="600" width="0" hidden="1" customWidth="1"/>
    <col min="601" max="601" width="8.28515625" customWidth="1"/>
    <col min="602" max="602" width="10.140625" customWidth="1"/>
    <col min="603" max="603" width="8.85546875" customWidth="1"/>
    <col min="604" max="605" width="0" hidden="1" customWidth="1"/>
    <col min="606" max="606" width="10.140625" customWidth="1"/>
    <col min="607" max="607" width="0" hidden="1" customWidth="1"/>
    <col min="608" max="608" width="7.28515625" customWidth="1"/>
    <col min="609" max="610" width="0" hidden="1" customWidth="1"/>
    <col min="611" max="611" width="12" customWidth="1"/>
    <col min="612" max="615" width="0" hidden="1" customWidth="1"/>
    <col min="616" max="616" width="10.28515625" customWidth="1"/>
    <col min="617" max="617" width="12.28515625" customWidth="1"/>
    <col min="619" max="619" width="17.140625" customWidth="1"/>
    <col min="620" max="620" width="6.42578125" customWidth="1"/>
    <col min="621" max="621" width="10" customWidth="1"/>
    <col min="622" max="622" width="6.28515625" customWidth="1"/>
    <col min="623" max="623" width="9.42578125" customWidth="1"/>
    <col min="624" max="624" width="5.7109375" customWidth="1"/>
    <col min="625" max="625" width="9" customWidth="1"/>
    <col min="626" max="626" width="5.7109375" customWidth="1"/>
    <col min="627" max="627" width="8.28515625" customWidth="1"/>
    <col min="628" max="628" width="5.5703125" customWidth="1"/>
    <col min="629" max="629" width="8" customWidth="1"/>
    <col min="630" max="630" width="5.85546875" customWidth="1"/>
    <col min="631" max="631" width="8.85546875" customWidth="1"/>
    <col min="632" max="633" width="8" customWidth="1"/>
    <col min="634" max="634" width="5.85546875" customWidth="1"/>
    <col min="635" max="635" width="6.42578125" customWidth="1"/>
    <col min="636" max="636" width="0" hidden="1" customWidth="1"/>
    <col min="637" max="637" width="12.42578125" customWidth="1"/>
    <col min="854" max="854" width="4.5703125" customWidth="1"/>
    <col min="855" max="855" width="30.140625" customWidth="1"/>
    <col min="856" max="856" width="0" hidden="1" customWidth="1"/>
    <col min="857" max="857" width="8.28515625" customWidth="1"/>
    <col min="858" max="858" width="10.140625" customWidth="1"/>
    <col min="859" max="859" width="8.85546875" customWidth="1"/>
    <col min="860" max="861" width="0" hidden="1" customWidth="1"/>
    <col min="862" max="862" width="10.140625" customWidth="1"/>
    <col min="863" max="863" width="0" hidden="1" customWidth="1"/>
    <col min="864" max="864" width="7.28515625" customWidth="1"/>
    <col min="865" max="866" width="0" hidden="1" customWidth="1"/>
    <col min="867" max="867" width="12" customWidth="1"/>
    <col min="868" max="871" width="0" hidden="1" customWidth="1"/>
    <col min="872" max="872" width="10.28515625" customWidth="1"/>
    <col min="873" max="873" width="12.28515625" customWidth="1"/>
    <col min="875" max="875" width="17.140625" customWidth="1"/>
    <col min="876" max="876" width="6.42578125" customWidth="1"/>
    <col min="877" max="877" width="10" customWidth="1"/>
    <col min="878" max="878" width="6.28515625" customWidth="1"/>
    <col min="879" max="879" width="9.42578125" customWidth="1"/>
    <col min="880" max="880" width="5.7109375" customWidth="1"/>
    <col min="881" max="881" width="9" customWidth="1"/>
    <col min="882" max="882" width="5.7109375" customWidth="1"/>
    <col min="883" max="883" width="8.28515625" customWidth="1"/>
    <col min="884" max="884" width="5.5703125" customWidth="1"/>
    <col min="885" max="885" width="8" customWidth="1"/>
    <col min="886" max="886" width="5.85546875" customWidth="1"/>
    <col min="887" max="887" width="8.85546875" customWidth="1"/>
    <col min="888" max="889" width="8" customWidth="1"/>
    <col min="890" max="890" width="5.85546875" customWidth="1"/>
    <col min="891" max="891" width="6.42578125" customWidth="1"/>
    <col min="892" max="892" width="0" hidden="1" customWidth="1"/>
    <col min="893" max="893" width="12.42578125" customWidth="1"/>
    <col min="1110" max="1110" width="4.5703125" customWidth="1"/>
    <col min="1111" max="1111" width="30.140625" customWidth="1"/>
    <col min="1112" max="1112" width="0" hidden="1" customWidth="1"/>
    <col min="1113" max="1113" width="8.28515625" customWidth="1"/>
    <col min="1114" max="1114" width="10.140625" customWidth="1"/>
    <col min="1115" max="1115" width="8.85546875" customWidth="1"/>
    <col min="1116" max="1117" width="0" hidden="1" customWidth="1"/>
    <col min="1118" max="1118" width="10.140625" customWidth="1"/>
    <col min="1119" max="1119" width="0" hidden="1" customWidth="1"/>
    <col min="1120" max="1120" width="7.28515625" customWidth="1"/>
    <col min="1121" max="1122" width="0" hidden="1" customWidth="1"/>
    <col min="1123" max="1123" width="12" customWidth="1"/>
    <col min="1124" max="1127" width="0" hidden="1" customWidth="1"/>
    <col min="1128" max="1128" width="10.28515625" customWidth="1"/>
    <col min="1129" max="1129" width="12.28515625" customWidth="1"/>
    <col min="1131" max="1131" width="17.140625" customWidth="1"/>
    <col min="1132" max="1132" width="6.42578125" customWidth="1"/>
    <col min="1133" max="1133" width="10" customWidth="1"/>
    <col min="1134" max="1134" width="6.28515625" customWidth="1"/>
    <col min="1135" max="1135" width="9.42578125" customWidth="1"/>
    <col min="1136" max="1136" width="5.7109375" customWidth="1"/>
    <col min="1137" max="1137" width="9" customWidth="1"/>
    <col min="1138" max="1138" width="5.7109375" customWidth="1"/>
    <col min="1139" max="1139" width="8.28515625" customWidth="1"/>
    <col min="1140" max="1140" width="5.5703125" customWidth="1"/>
    <col min="1141" max="1141" width="8" customWidth="1"/>
    <col min="1142" max="1142" width="5.85546875" customWidth="1"/>
    <col min="1143" max="1143" width="8.85546875" customWidth="1"/>
    <col min="1144" max="1145" width="8" customWidth="1"/>
    <col min="1146" max="1146" width="5.85546875" customWidth="1"/>
    <col min="1147" max="1147" width="6.42578125" customWidth="1"/>
    <col min="1148" max="1148" width="0" hidden="1" customWidth="1"/>
    <col min="1149" max="1149" width="12.42578125" customWidth="1"/>
    <col min="1366" max="1366" width="4.5703125" customWidth="1"/>
    <col min="1367" max="1367" width="30.140625" customWidth="1"/>
    <col min="1368" max="1368" width="0" hidden="1" customWidth="1"/>
    <col min="1369" max="1369" width="8.28515625" customWidth="1"/>
    <col min="1370" max="1370" width="10.140625" customWidth="1"/>
    <col min="1371" max="1371" width="8.85546875" customWidth="1"/>
    <col min="1372" max="1373" width="0" hidden="1" customWidth="1"/>
    <col min="1374" max="1374" width="10.140625" customWidth="1"/>
    <col min="1375" max="1375" width="0" hidden="1" customWidth="1"/>
    <col min="1376" max="1376" width="7.28515625" customWidth="1"/>
    <col min="1377" max="1378" width="0" hidden="1" customWidth="1"/>
    <col min="1379" max="1379" width="12" customWidth="1"/>
    <col min="1380" max="1383" width="0" hidden="1" customWidth="1"/>
    <col min="1384" max="1384" width="10.28515625" customWidth="1"/>
    <col min="1385" max="1385" width="12.28515625" customWidth="1"/>
    <col min="1387" max="1387" width="17.140625" customWidth="1"/>
    <col min="1388" max="1388" width="6.42578125" customWidth="1"/>
    <col min="1389" max="1389" width="10" customWidth="1"/>
    <col min="1390" max="1390" width="6.28515625" customWidth="1"/>
    <col min="1391" max="1391" width="9.42578125" customWidth="1"/>
    <col min="1392" max="1392" width="5.7109375" customWidth="1"/>
    <col min="1393" max="1393" width="9" customWidth="1"/>
    <col min="1394" max="1394" width="5.7109375" customWidth="1"/>
    <col min="1395" max="1395" width="8.28515625" customWidth="1"/>
    <col min="1396" max="1396" width="5.5703125" customWidth="1"/>
    <col min="1397" max="1397" width="8" customWidth="1"/>
    <col min="1398" max="1398" width="5.85546875" customWidth="1"/>
    <col min="1399" max="1399" width="8.85546875" customWidth="1"/>
    <col min="1400" max="1401" width="8" customWidth="1"/>
    <col min="1402" max="1402" width="5.85546875" customWidth="1"/>
    <col min="1403" max="1403" width="6.42578125" customWidth="1"/>
    <col min="1404" max="1404" width="0" hidden="1" customWidth="1"/>
    <col min="1405" max="1405" width="12.42578125" customWidth="1"/>
    <col min="1622" max="1622" width="4.5703125" customWidth="1"/>
    <col min="1623" max="1623" width="30.140625" customWidth="1"/>
    <col min="1624" max="1624" width="0" hidden="1" customWidth="1"/>
    <col min="1625" max="1625" width="8.28515625" customWidth="1"/>
    <col min="1626" max="1626" width="10.140625" customWidth="1"/>
    <col min="1627" max="1627" width="8.85546875" customWidth="1"/>
    <col min="1628" max="1629" width="0" hidden="1" customWidth="1"/>
    <col min="1630" max="1630" width="10.140625" customWidth="1"/>
    <col min="1631" max="1631" width="0" hidden="1" customWidth="1"/>
    <col min="1632" max="1632" width="7.28515625" customWidth="1"/>
    <col min="1633" max="1634" width="0" hidden="1" customWidth="1"/>
    <col min="1635" max="1635" width="12" customWidth="1"/>
    <col min="1636" max="1639" width="0" hidden="1" customWidth="1"/>
    <col min="1640" max="1640" width="10.28515625" customWidth="1"/>
    <col min="1641" max="1641" width="12.28515625" customWidth="1"/>
    <col min="1643" max="1643" width="17.140625" customWidth="1"/>
    <col min="1644" max="1644" width="6.42578125" customWidth="1"/>
    <col min="1645" max="1645" width="10" customWidth="1"/>
    <col min="1646" max="1646" width="6.28515625" customWidth="1"/>
    <col min="1647" max="1647" width="9.42578125" customWidth="1"/>
    <col min="1648" max="1648" width="5.7109375" customWidth="1"/>
    <col min="1649" max="1649" width="9" customWidth="1"/>
    <col min="1650" max="1650" width="5.7109375" customWidth="1"/>
    <col min="1651" max="1651" width="8.28515625" customWidth="1"/>
    <col min="1652" max="1652" width="5.5703125" customWidth="1"/>
    <col min="1653" max="1653" width="8" customWidth="1"/>
    <col min="1654" max="1654" width="5.85546875" customWidth="1"/>
    <col min="1655" max="1655" width="8.85546875" customWidth="1"/>
    <col min="1656" max="1657" width="8" customWidth="1"/>
    <col min="1658" max="1658" width="5.85546875" customWidth="1"/>
    <col min="1659" max="1659" width="6.42578125" customWidth="1"/>
    <col min="1660" max="1660" width="0" hidden="1" customWidth="1"/>
    <col min="1661" max="1661" width="12.42578125" customWidth="1"/>
    <col min="1878" max="1878" width="4.5703125" customWidth="1"/>
    <col min="1879" max="1879" width="30.140625" customWidth="1"/>
    <col min="1880" max="1880" width="0" hidden="1" customWidth="1"/>
    <col min="1881" max="1881" width="8.28515625" customWidth="1"/>
    <col min="1882" max="1882" width="10.140625" customWidth="1"/>
    <col min="1883" max="1883" width="8.85546875" customWidth="1"/>
    <col min="1884" max="1885" width="0" hidden="1" customWidth="1"/>
    <col min="1886" max="1886" width="10.140625" customWidth="1"/>
    <col min="1887" max="1887" width="0" hidden="1" customWidth="1"/>
    <col min="1888" max="1888" width="7.28515625" customWidth="1"/>
    <col min="1889" max="1890" width="0" hidden="1" customWidth="1"/>
    <col min="1891" max="1891" width="12" customWidth="1"/>
    <col min="1892" max="1895" width="0" hidden="1" customWidth="1"/>
    <col min="1896" max="1896" width="10.28515625" customWidth="1"/>
    <col min="1897" max="1897" width="12.28515625" customWidth="1"/>
    <col min="1899" max="1899" width="17.140625" customWidth="1"/>
    <col min="1900" max="1900" width="6.42578125" customWidth="1"/>
    <col min="1901" max="1901" width="10" customWidth="1"/>
    <col min="1902" max="1902" width="6.28515625" customWidth="1"/>
    <col min="1903" max="1903" width="9.42578125" customWidth="1"/>
    <col min="1904" max="1904" width="5.7109375" customWidth="1"/>
    <col min="1905" max="1905" width="9" customWidth="1"/>
    <col min="1906" max="1906" width="5.7109375" customWidth="1"/>
    <col min="1907" max="1907" width="8.28515625" customWidth="1"/>
    <col min="1908" max="1908" width="5.5703125" customWidth="1"/>
    <col min="1909" max="1909" width="8" customWidth="1"/>
    <col min="1910" max="1910" width="5.85546875" customWidth="1"/>
    <col min="1911" max="1911" width="8.85546875" customWidth="1"/>
    <col min="1912" max="1913" width="8" customWidth="1"/>
    <col min="1914" max="1914" width="5.85546875" customWidth="1"/>
    <col min="1915" max="1915" width="6.42578125" customWidth="1"/>
    <col min="1916" max="1916" width="0" hidden="1" customWidth="1"/>
    <col min="1917" max="1917" width="12.42578125" customWidth="1"/>
    <col min="2134" max="2134" width="4.5703125" customWidth="1"/>
    <col min="2135" max="2135" width="30.140625" customWidth="1"/>
    <col min="2136" max="2136" width="0" hidden="1" customWidth="1"/>
    <col min="2137" max="2137" width="8.28515625" customWidth="1"/>
    <col min="2138" max="2138" width="10.140625" customWidth="1"/>
    <col min="2139" max="2139" width="8.85546875" customWidth="1"/>
    <col min="2140" max="2141" width="0" hidden="1" customWidth="1"/>
    <col min="2142" max="2142" width="10.140625" customWidth="1"/>
    <col min="2143" max="2143" width="0" hidden="1" customWidth="1"/>
    <col min="2144" max="2144" width="7.28515625" customWidth="1"/>
    <col min="2145" max="2146" width="0" hidden="1" customWidth="1"/>
    <col min="2147" max="2147" width="12" customWidth="1"/>
    <col min="2148" max="2151" width="0" hidden="1" customWidth="1"/>
    <col min="2152" max="2152" width="10.28515625" customWidth="1"/>
    <col min="2153" max="2153" width="12.28515625" customWidth="1"/>
    <col min="2155" max="2155" width="17.140625" customWidth="1"/>
    <col min="2156" max="2156" width="6.42578125" customWidth="1"/>
    <col min="2157" max="2157" width="10" customWidth="1"/>
    <col min="2158" max="2158" width="6.28515625" customWidth="1"/>
    <col min="2159" max="2159" width="9.42578125" customWidth="1"/>
    <col min="2160" max="2160" width="5.7109375" customWidth="1"/>
    <col min="2161" max="2161" width="9" customWidth="1"/>
    <col min="2162" max="2162" width="5.7109375" customWidth="1"/>
    <col min="2163" max="2163" width="8.28515625" customWidth="1"/>
    <col min="2164" max="2164" width="5.5703125" customWidth="1"/>
    <col min="2165" max="2165" width="8" customWidth="1"/>
    <col min="2166" max="2166" width="5.85546875" customWidth="1"/>
    <col min="2167" max="2167" width="8.85546875" customWidth="1"/>
    <col min="2168" max="2169" width="8" customWidth="1"/>
    <col min="2170" max="2170" width="5.85546875" customWidth="1"/>
    <col min="2171" max="2171" width="6.42578125" customWidth="1"/>
    <col min="2172" max="2172" width="0" hidden="1" customWidth="1"/>
    <col min="2173" max="2173" width="12.42578125" customWidth="1"/>
    <col min="2390" max="2390" width="4.5703125" customWidth="1"/>
    <col min="2391" max="2391" width="30.140625" customWidth="1"/>
    <col min="2392" max="2392" width="0" hidden="1" customWidth="1"/>
    <col min="2393" max="2393" width="8.28515625" customWidth="1"/>
    <col min="2394" max="2394" width="10.140625" customWidth="1"/>
    <col min="2395" max="2395" width="8.85546875" customWidth="1"/>
    <col min="2396" max="2397" width="0" hidden="1" customWidth="1"/>
    <col min="2398" max="2398" width="10.140625" customWidth="1"/>
    <col min="2399" max="2399" width="0" hidden="1" customWidth="1"/>
    <col min="2400" max="2400" width="7.28515625" customWidth="1"/>
    <col min="2401" max="2402" width="0" hidden="1" customWidth="1"/>
    <col min="2403" max="2403" width="12" customWidth="1"/>
    <col min="2404" max="2407" width="0" hidden="1" customWidth="1"/>
    <col min="2408" max="2408" width="10.28515625" customWidth="1"/>
    <col min="2409" max="2409" width="12.28515625" customWidth="1"/>
    <col min="2411" max="2411" width="17.140625" customWidth="1"/>
    <col min="2412" max="2412" width="6.42578125" customWidth="1"/>
    <col min="2413" max="2413" width="10" customWidth="1"/>
    <col min="2414" max="2414" width="6.28515625" customWidth="1"/>
    <col min="2415" max="2415" width="9.42578125" customWidth="1"/>
    <col min="2416" max="2416" width="5.7109375" customWidth="1"/>
    <col min="2417" max="2417" width="9" customWidth="1"/>
    <col min="2418" max="2418" width="5.7109375" customWidth="1"/>
    <col min="2419" max="2419" width="8.28515625" customWidth="1"/>
    <col min="2420" max="2420" width="5.5703125" customWidth="1"/>
    <col min="2421" max="2421" width="8" customWidth="1"/>
    <col min="2422" max="2422" width="5.85546875" customWidth="1"/>
    <col min="2423" max="2423" width="8.85546875" customWidth="1"/>
    <col min="2424" max="2425" width="8" customWidth="1"/>
    <col min="2426" max="2426" width="5.85546875" customWidth="1"/>
    <col min="2427" max="2427" width="6.42578125" customWidth="1"/>
    <col min="2428" max="2428" width="0" hidden="1" customWidth="1"/>
    <col min="2429" max="2429" width="12.42578125" customWidth="1"/>
    <col min="2646" max="2646" width="4.5703125" customWidth="1"/>
    <col min="2647" max="2647" width="30.140625" customWidth="1"/>
    <col min="2648" max="2648" width="0" hidden="1" customWidth="1"/>
    <col min="2649" max="2649" width="8.28515625" customWidth="1"/>
    <col min="2650" max="2650" width="10.140625" customWidth="1"/>
    <col min="2651" max="2651" width="8.85546875" customWidth="1"/>
    <col min="2652" max="2653" width="0" hidden="1" customWidth="1"/>
    <col min="2654" max="2654" width="10.140625" customWidth="1"/>
    <col min="2655" max="2655" width="0" hidden="1" customWidth="1"/>
    <col min="2656" max="2656" width="7.28515625" customWidth="1"/>
    <col min="2657" max="2658" width="0" hidden="1" customWidth="1"/>
    <col min="2659" max="2659" width="12" customWidth="1"/>
    <col min="2660" max="2663" width="0" hidden="1" customWidth="1"/>
    <col min="2664" max="2664" width="10.28515625" customWidth="1"/>
    <col min="2665" max="2665" width="12.28515625" customWidth="1"/>
    <col min="2667" max="2667" width="17.140625" customWidth="1"/>
    <col min="2668" max="2668" width="6.42578125" customWidth="1"/>
    <col min="2669" max="2669" width="10" customWidth="1"/>
    <col min="2670" max="2670" width="6.28515625" customWidth="1"/>
    <col min="2671" max="2671" width="9.42578125" customWidth="1"/>
    <col min="2672" max="2672" width="5.7109375" customWidth="1"/>
    <col min="2673" max="2673" width="9" customWidth="1"/>
    <col min="2674" max="2674" width="5.7109375" customWidth="1"/>
    <col min="2675" max="2675" width="8.28515625" customWidth="1"/>
    <col min="2676" max="2676" width="5.5703125" customWidth="1"/>
    <col min="2677" max="2677" width="8" customWidth="1"/>
    <col min="2678" max="2678" width="5.85546875" customWidth="1"/>
    <col min="2679" max="2679" width="8.85546875" customWidth="1"/>
    <col min="2680" max="2681" width="8" customWidth="1"/>
    <col min="2682" max="2682" width="5.85546875" customWidth="1"/>
    <col min="2683" max="2683" width="6.42578125" customWidth="1"/>
    <col min="2684" max="2684" width="0" hidden="1" customWidth="1"/>
    <col min="2685" max="2685" width="12.42578125" customWidth="1"/>
    <col min="2902" max="2902" width="4.5703125" customWidth="1"/>
    <col min="2903" max="2903" width="30.140625" customWidth="1"/>
    <col min="2904" max="2904" width="0" hidden="1" customWidth="1"/>
    <col min="2905" max="2905" width="8.28515625" customWidth="1"/>
    <col min="2906" max="2906" width="10.140625" customWidth="1"/>
    <col min="2907" max="2907" width="8.85546875" customWidth="1"/>
    <col min="2908" max="2909" width="0" hidden="1" customWidth="1"/>
    <col min="2910" max="2910" width="10.140625" customWidth="1"/>
    <col min="2911" max="2911" width="0" hidden="1" customWidth="1"/>
    <col min="2912" max="2912" width="7.28515625" customWidth="1"/>
    <col min="2913" max="2914" width="0" hidden="1" customWidth="1"/>
    <col min="2915" max="2915" width="12" customWidth="1"/>
    <col min="2916" max="2919" width="0" hidden="1" customWidth="1"/>
    <col min="2920" max="2920" width="10.28515625" customWidth="1"/>
    <col min="2921" max="2921" width="12.28515625" customWidth="1"/>
    <col min="2923" max="2923" width="17.140625" customWidth="1"/>
    <col min="2924" max="2924" width="6.42578125" customWidth="1"/>
    <col min="2925" max="2925" width="10" customWidth="1"/>
    <col min="2926" max="2926" width="6.28515625" customWidth="1"/>
    <col min="2927" max="2927" width="9.42578125" customWidth="1"/>
    <col min="2928" max="2928" width="5.7109375" customWidth="1"/>
    <col min="2929" max="2929" width="9" customWidth="1"/>
    <col min="2930" max="2930" width="5.7109375" customWidth="1"/>
    <col min="2931" max="2931" width="8.28515625" customWidth="1"/>
    <col min="2932" max="2932" width="5.5703125" customWidth="1"/>
    <col min="2933" max="2933" width="8" customWidth="1"/>
    <col min="2934" max="2934" width="5.85546875" customWidth="1"/>
    <col min="2935" max="2935" width="8.85546875" customWidth="1"/>
    <col min="2936" max="2937" width="8" customWidth="1"/>
    <col min="2938" max="2938" width="5.85546875" customWidth="1"/>
    <col min="2939" max="2939" width="6.42578125" customWidth="1"/>
    <col min="2940" max="2940" width="0" hidden="1" customWidth="1"/>
    <col min="2941" max="2941" width="12.42578125" customWidth="1"/>
    <col min="3158" max="3158" width="4.5703125" customWidth="1"/>
    <col min="3159" max="3159" width="30.140625" customWidth="1"/>
    <col min="3160" max="3160" width="0" hidden="1" customWidth="1"/>
    <col min="3161" max="3161" width="8.28515625" customWidth="1"/>
    <col min="3162" max="3162" width="10.140625" customWidth="1"/>
    <col min="3163" max="3163" width="8.85546875" customWidth="1"/>
    <col min="3164" max="3165" width="0" hidden="1" customWidth="1"/>
    <col min="3166" max="3166" width="10.140625" customWidth="1"/>
    <col min="3167" max="3167" width="0" hidden="1" customWidth="1"/>
    <col min="3168" max="3168" width="7.28515625" customWidth="1"/>
    <col min="3169" max="3170" width="0" hidden="1" customWidth="1"/>
    <col min="3171" max="3171" width="12" customWidth="1"/>
    <col min="3172" max="3175" width="0" hidden="1" customWidth="1"/>
    <col min="3176" max="3176" width="10.28515625" customWidth="1"/>
    <col min="3177" max="3177" width="12.28515625" customWidth="1"/>
    <col min="3179" max="3179" width="17.140625" customWidth="1"/>
    <col min="3180" max="3180" width="6.42578125" customWidth="1"/>
    <col min="3181" max="3181" width="10" customWidth="1"/>
    <col min="3182" max="3182" width="6.28515625" customWidth="1"/>
    <col min="3183" max="3183" width="9.42578125" customWidth="1"/>
    <col min="3184" max="3184" width="5.7109375" customWidth="1"/>
    <col min="3185" max="3185" width="9" customWidth="1"/>
    <col min="3186" max="3186" width="5.7109375" customWidth="1"/>
    <col min="3187" max="3187" width="8.28515625" customWidth="1"/>
    <col min="3188" max="3188" width="5.5703125" customWidth="1"/>
    <col min="3189" max="3189" width="8" customWidth="1"/>
    <col min="3190" max="3190" width="5.85546875" customWidth="1"/>
    <col min="3191" max="3191" width="8.85546875" customWidth="1"/>
    <col min="3192" max="3193" width="8" customWidth="1"/>
    <col min="3194" max="3194" width="5.85546875" customWidth="1"/>
    <col min="3195" max="3195" width="6.42578125" customWidth="1"/>
    <col min="3196" max="3196" width="0" hidden="1" customWidth="1"/>
    <col min="3197" max="3197" width="12.42578125" customWidth="1"/>
    <col min="3414" max="3414" width="4.5703125" customWidth="1"/>
    <col min="3415" max="3415" width="30.140625" customWidth="1"/>
    <col min="3416" max="3416" width="0" hidden="1" customWidth="1"/>
    <col min="3417" max="3417" width="8.28515625" customWidth="1"/>
    <col min="3418" max="3418" width="10.140625" customWidth="1"/>
    <col min="3419" max="3419" width="8.85546875" customWidth="1"/>
    <col min="3420" max="3421" width="0" hidden="1" customWidth="1"/>
    <col min="3422" max="3422" width="10.140625" customWidth="1"/>
    <col min="3423" max="3423" width="0" hidden="1" customWidth="1"/>
    <col min="3424" max="3424" width="7.28515625" customWidth="1"/>
    <col min="3425" max="3426" width="0" hidden="1" customWidth="1"/>
    <col min="3427" max="3427" width="12" customWidth="1"/>
    <col min="3428" max="3431" width="0" hidden="1" customWidth="1"/>
    <col min="3432" max="3432" width="10.28515625" customWidth="1"/>
    <col min="3433" max="3433" width="12.28515625" customWidth="1"/>
    <col min="3435" max="3435" width="17.140625" customWidth="1"/>
    <col min="3436" max="3436" width="6.42578125" customWidth="1"/>
    <col min="3437" max="3437" width="10" customWidth="1"/>
    <col min="3438" max="3438" width="6.28515625" customWidth="1"/>
    <col min="3439" max="3439" width="9.42578125" customWidth="1"/>
    <col min="3440" max="3440" width="5.7109375" customWidth="1"/>
    <col min="3441" max="3441" width="9" customWidth="1"/>
    <col min="3442" max="3442" width="5.7109375" customWidth="1"/>
    <col min="3443" max="3443" width="8.28515625" customWidth="1"/>
    <col min="3444" max="3444" width="5.5703125" customWidth="1"/>
    <col min="3445" max="3445" width="8" customWidth="1"/>
    <col min="3446" max="3446" width="5.85546875" customWidth="1"/>
    <col min="3447" max="3447" width="8.85546875" customWidth="1"/>
    <col min="3448" max="3449" width="8" customWidth="1"/>
    <col min="3450" max="3450" width="5.85546875" customWidth="1"/>
    <col min="3451" max="3451" width="6.42578125" customWidth="1"/>
    <col min="3452" max="3452" width="0" hidden="1" customWidth="1"/>
    <col min="3453" max="3453" width="12.42578125" customWidth="1"/>
    <col min="3670" max="3670" width="4.5703125" customWidth="1"/>
    <col min="3671" max="3671" width="30.140625" customWidth="1"/>
    <col min="3672" max="3672" width="0" hidden="1" customWidth="1"/>
    <col min="3673" max="3673" width="8.28515625" customWidth="1"/>
    <col min="3674" max="3674" width="10.140625" customWidth="1"/>
    <col min="3675" max="3675" width="8.85546875" customWidth="1"/>
    <col min="3676" max="3677" width="0" hidden="1" customWidth="1"/>
    <col min="3678" max="3678" width="10.140625" customWidth="1"/>
    <col min="3679" max="3679" width="0" hidden="1" customWidth="1"/>
    <col min="3680" max="3680" width="7.28515625" customWidth="1"/>
    <col min="3681" max="3682" width="0" hidden="1" customWidth="1"/>
    <col min="3683" max="3683" width="12" customWidth="1"/>
    <col min="3684" max="3687" width="0" hidden="1" customWidth="1"/>
    <col min="3688" max="3688" width="10.28515625" customWidth="1"/>
    <col min="3689" max="3689" width="12.28515625" customWidth="1"/>
    <col min="3691" max="3691" width="17.140625" customWidth="1"/>
    <col min="3692" max="3692" width="6.42578125" customWidth="1"/>
    <col min="3693" max="3693" width="10" customWidth="1"/>
    <col min="3694" max="3694" width="6.28515625" customWidth="1"/>
    <col min="3695" max="3695" width="9.42578125" customWidth="1"/>
    <col min="3696" max="3696" width="5.7109375" customWidth="1"/>
    <col min="3697" max="3697" width="9" customWidth="1"/>
    <col min="3698" max="3698" width="5.7109375" customWidth="1"/>
    <col min="3699" max="3699" width="8.28515625" customWidth="1"/>
    <col min="3700" max="3700" width="5.5703125" customWidth="1"/>
    <col min="3701" max="3701" width="8" customWidth="1"/>
    <col min="3702" max="3702" width="5.85546875" customWidth="1"/>
    <col min="3703" max="3703" width="8.85546875" customWidth="1"/>
    <col min="3704" max="3705" width="8" customWidth="1"/>
    <col min="3706" max="3706" width="5.85546875" customWidth="1"/>
    <col min="3707" max="3707" width="6.42578125" customWidth="1"/>
    <col min="3708" max="3708" width="0" hidden="1" customWidth="1"/>
    <col min="3709" max="3709" width="12.42578125" customWidth="1"/>
    <col min="3926" max="3926" width="4.5703125" customWidth="1"/>
    <col min="3927" max="3927" width="30.140625" customWidth="1"/>
    <col min="3928" max="3928" width="0" hidden="1" customWidth="1"/>
    <col min="3929" max="3929" width="8.28515625" customWidth="1"/>
    <col min="3930" max="3930" width="10.140625" customWidth="1"/>
    <col min="3931" max="3931" width="8.85546875" customWidth="1"/>
    <col min="3932" max="3933" width="0" hidden="1" customWidth="1"/>
    <col min="3934" max="3934" width="10.140625" customWidth="1"/>
    <col min="3935" max="3935" width="0" hidden="1" customWidth="1"/>
    <col min="3936" max="3936" width="7.28515625" customWidth="1"/>
    <col min="3937" max="3938" width="0" hidden="1" customWidth="1"/>
    <col min="3939" max="3939" width="12" customWidth="1"/>
    <col min="3940" max="3943" width="0" hidden="1" customWidth="1"/>
    <col min="3944" max="3944" width="10.28515625" customWidth="1"/>
    <col min="3945" max="3945" width="12.28515625" customWidth="1"/>
    <col min="3947" max="3947" width="17.140625" customWidth="1"/>
    <col min="3948" max="3948" width="6.42578125" customWidth="1"/>
    <col min="3949" max="3949" width="10" customWidth="1"/>
    <col min="3950" max="3950" width="6.28515625" customWidth="1"/>
    <col min="3951" max="3951" width="9.42578125" customWidth="1"/>
    <col min="3952" max="3952" width="5.7109375" customWidth="1"/>
    <col min="3953" max="3953" width="9" customWidth="1"/>
    <col min="3954" max="3954" width="5.7109375" customWidth="1"/>
    <col min="3955" max="3955" width="8.28515625" customWidth="1"/>
    <col min="3956" max="3956" width="5.5703125" customWidth="1"/>
    <col min="3957" max="3957" width="8" customWidth="1"/>
    <col min="3958" max="3958" width="5.85546875" customWidth="1"/>
    <col min="3959" max="3959" width="8.85546875" customWidth="1"/>
    <col min="3960" max="3961" width="8" customWidth="1"/>
    <col min="3962" max="3962" width="5.85546875" customWidth="1"/>
    <col min="3963" max="3963" width="6.42578125" customWidth="1"/>
    <col min="3964" max="3964" width="0" hidden="1" customWidth="1"/>
    <col min="3965" max="3965" width="12.42578125" customWidth="1"/>
    <col min="4182" max="4182" width="4.5703125" customWidth="1"/>
    <col min="4183" max="4183" width="30.140625" customWidth="1"/>
    <col min="4184" max="4184" width="0" hidden="1" customWidth="1"/>
    <col min="4185" max="4185" width="8.28515625" customWidth="1"/>
    <col min="4186" max="4186" width="10.140625" customWidth="1"/>
    <col min="4187" max="4187" width="8.85546875" customWidth="1"/>
    <col min="4188" max="4189" width="0" hidden="1" customWidth="1"/>
    <col min="4190" max="4190" width="10.140625" customWidth="1"/>
    <col min="4191" max="4191" width="0" hidden="1" customWidth="1"/>
    <col min="4192" max="4192" width="7.28515625" customWidth="1"/>
    <col min="4193" max="4194" width="0" hidden="1" customWidth="1"/>
    <col min="4195" max="4195" width="12" customWidth="1"/>
    <col min="4196" max="4199" width="0" hidden="1" customWidth="1"/>
    <col min="4200" max="4200" width="10.28515625" customWidth="1"/>
    <col min="4201" max="4201" width="12.28515625" customWidth="1"/>
    <col min="4203" max="4203" width="17.140625" customWidth="1"/>
    <col min="4204" max="4204" width="6.42578125" customWidth="1"/>
    <col min="4205" max="4205" width="10" customWidth="1"/>
    <col min="4206" max="4206" width="6.28515625" customWidth="1"/>
    <col min="4207" max="4207" width="9.42578125" customWidth="1"/>
    <col min="4208" max="4208" width="5.7109375" customWidth="1"/>
    <col min="4209" max="4209" width="9" customWidth="1"/>
    <col min="4210" max="4210" width="5.7109375" customWidth="1"/>
    <col min="4211" max="4211" width="8.28515625" customWidth="1"/>
    <col min="4212" max="4212" width="5.5703125" customWidth="1"/>
    <col min="4213" max="4213" width="8" customWidth="1"/>
    <col min="4214" max="4214" width="5.85546875" customWidth="1"/>
    <col min="4215" max="4215" width="8.85546875" customWidth="1"/>
    <col min="4216" max="4217" width="8" customWidth="1"/>
    <col min="4218" max="4218" width="5.85546875" customWidth="1"/>
    <col min="4219" max="4219" width="6.42578125" customWidth="1"/>
    <col min="4220" max="4220" width="0" hidden="1" customWidth="1"/>
    <col min="4221" max="4221" width="12.42578125" customWidth="1"/>
    <col min="4438" max="4438" width="4.5703125" customWidth="1"/>
    <col min="4439" max="4439" width="30.140625" customWidth="1"/>
    <col min="4440" max="4440" width="0" hidden="1" customWidth="1"/>
    <col min="4441" max="4441" width="8.28515625" customWidth="1"/>
    <col min="4442" max="4442" width="10.140625" customWidth="1"/>
    <col min="4443" max="4443" width="8.85546875" customWidth="1"/>
    <col min="4444" max="4445" width="0" hidden="1" customWidth="1"/>
    <col min="4446" max="4446" width="10.140625" customWidth="1"/>
    <col min="4447" max="4447" width="0" hidden="1" customWidth="1"/>
    <col min="4448" max="4448" width="7.28515625" customWidth="1"/>
    <col min="4449" max="4450" width="0" hidden="1" customWidth="1"/>
    <col min="4451" max="4451" width="12" customWidth="1"/>
    <col min="4452" max="4455" width="0" hidden="1" customWidth="1"/>
    <col min="4456" max="4456" width="10.28515625" customWidth="1"/>
    <col min="4457" max="4457" width="12.28515625" customWidth="1"/>
    <col min="4459" max="4459" width="17.140625" customWidth="1"/>
    <col min="4460" max="4460" width="6.42578125" customWidth="1"/>
    <col min="4461" max="4461" width="10" customWidth="1"/>
    <col min="4462" max="4462" width="6.28515625" customWidth="1"/>
    <col min="4463" max="4463" width="9.42578125" customWidth="1"/>
    <col min="4464" max="4464" width="5.7109375" customWidth="1"/>
    <col min="4465" max="4465" width="9" customWidth="1"/>
    <col min="4466" max="4466" width="5.7109375" customWidth="1"/>
    <col min="4467" max="4467" width="8.28515625" customWidth="1"/>
    <col min="4468" max="4468" width="5.5703125" customWidth="1"/>
    <col min="4469" max="4469" width="8" customWidth="1"/>
    <col min="4470" max="4470" width="5.85546875" customWidth="1"/>
    <col min="4471" max="4471" width="8.85546875" customWidth="1"/>
    <col min="4472" max="4473" width="8" customWidth="1"/>
    <col min="4474" max="4474" width="5.85546875" customWidth="1"/>
    <col min="4475" max="4475" width="6.42578125" customWidth="1"/>
    <col min="4476" max="4476" width="0" hidden="1" customWidth="1"/>
    <col min="4477" max="4477" width="12.42578125" customWidth="1"/>
    <col min="4694" max="4694" width="4.5703125" customWidth="1"/>
    <col min="4695" max="4695" width="30.140625" customWidth="1"/>
    <col min="4696" max="4696" width="0" hidden="1" customWidth="1"/>
    <col min="4697" max="4697" width="8.28515625" customWidth="1"/>
    <col min="4698" max="4698" width="10.140625" customWidth="1"/>
    <col min="4699" max="4699" width="8.85546875" customWidth="1"/>
    <col min="4700" max="4701" width="0" hidden="1" customWidth="1"/>
    <col min="4702" max="4702" width="10.140625" customWidth="1"/>
    <col min="4703" max="4703" width="0" hidden="1" customWidth="1"/>
    <col min="4704" max="4704" width="7.28515625" customWidth="1"/>
    <col min="4705" max="4706" width="0" hidden="1" customWidth="1"/>
    <col min="4707" max="4707" width="12" customWidth="1"/>
    <col min="4708" max="4711" width="0" hidden="1" customWidth="1"/>
    <col min="4712" max="4712" width="10.28515625" customWidth="1"/>
    <col min="4713" max="4713" width="12.28515625" customWidth="1"/>
    <col min="4715" max="4715" width="17.140625" customWidth="1"/>
    <col min="4716" max="4716" width="6.42578125" customWidth="1"/>
    <col min="4717" max="4717" width="10" customWidth="1"/>
    <col min="4718" max="4718" width="6.28515625" customWidth="1"/>
    <col min="4719" max="4719" width="9.42578125" customWidth="1"/>
    <col min="4720" max="4720" width="5.7109375" customWidth="1"/>
    <col min="4721" max="4721" width="9" customWidth="1"/>
    <col min="4722" max="4722" width="5.7109375" customWidth="1"/>
    <col min="4723" max="4723" width="8.28515625" customWidth="1"/>
    <col min="4724" max="4724" width="5.5703125" customWidth="1"/>
    <col min="4725" max="4725" width="8" customWidth="1"/>
    <col min="4726" max="4726" width="5.85546875" customWidth="1"/>
    <col min="4727" max="4727" width="8.85546875" customWidth="1"/>
    <col min="4728" max="4729" width="8" customWidth="1"/>
    <col min="4730" max="4730" width="5.85546875" customWidth="1"/>
    <col min="4731" max="4731" width="6.42578125" customWidth="1"/>
    <col min="4732" max="4732" width="0" hidden="1" customWidth="1"/>
    <col min="4733" max="4733" width="12.42578125" customWidth="1"/>
    <col min="4950" max="4950" width="4.5703125" customWidth="1"/>
    <col min="4951" max="4951" width="30.140625" customWidth="1"/>
    <col min="4952" max="4952" width="0" hidden="1" customWidth="1"/>
    <col min="4953" max="4953" width="8.28515625" customWidth="1"/>
    <col min="4954" max="4954" width="10.140625" customWidth="1"/>
    <col min="4955" max="4955" width="8.85546875" customWidth="1"/>
    <col min="4956" max="4957" width="0" hidden="1" customWidth="1"/>
    <col min="4958" max="4958" width="10.140625" customWidth="1"/>
    <col min="4959" max="4959" width="0" hidden="1" customWidth="1"/>
    <col min="4960" max="4960" width="7.28515625" customWidth="1"/>
    <col min="4961" max="4962" width="0" hidden="1" customWidth="1"/>
    <col min="4963" max="4963" width="12" customWidth="1"/>
    <col min="4964" max="4967" width="0" hidden="1" customWidth="1"/>
    <col min="4968" max="4968" width="10.28515625" customWidth="1"/>
    <col min="4969" max="4969" width="12.28515625" customWidth="1"/>
    <col min="4971" max="4971" width="17.140625" customWidth="1"/>
    <col min="4972" max="4972" width="6.42578125" customWidth="1"/>
    <col min="4973" max="4973" width="10" customWidth="1"/>
    <col min="4974" max="4974" width="6.28515625" customWidth="1"/>
    <col min="4975" max="4975" width="9.42578125" customWidth="1"/>
    <col min="4976" max="4976" width="5.7109375" customWidth="1"/>
    <col min="4977" max="4977" width="9" customWidth="1"/>
    <col min="4978" max="4978" width="5.7109375" customWidth="1"/>
    <col min="4979" max="4979" width="8.28515625" customWidth="1"/>
    <col min="4980" max="4980" width="5.5703125" customWidth="1"/>
    <col min="4981" max="4981" width="8" customWidth="1"/>
    <col min="4982" max="4982" width="5.85546875" customWidth="1"/>
    <col min="4983" max="4983" width="8.85546875" customWidth="1"/>
    <col min="4984" max="4985" width="8" customWidth="1"/>
    <col min="4986" max="4986" width="5.85546875" customWidth="1"/>
    <col min="4987" max="4987" width="6.42578125" customWidth="1"/>
    <col min="4988" max="4988" width="0" hidden="1" customWidth="1"/>
    <col min="4989" max="4989" width="12.42578125" customWidth="1"/>
    <col min="5206" max="5206" width="4.5703125" customWidth="1"/>
    <col min="5207" max="5207" width="30.140625" customWidth="1"/>
    <col min="5208" max="5208" width="0" hidden="1" customWidth="1"/>
    <col min="5209" max="5209" width="8.28515625" customWidth="1"/>
    <col min="5210" max="5210" width="10.140625" customWidth="1"/>
    <col min="5211" max="5211" width="8.85546875" customWidth="1"/>
    <col min="5212" max="5213" width="0" hidden="1" customWidth="1"/>
    <col min="5214" max="5214" width="10.140625" customWidth="1"/>
    <col min="5215" max="5215" width="0" hidden="1" customWidth="1"/>
    <col min="5216" max="5216" width="7.28515625" customWidth="1"/>
    <col min="5217" max="5218" width="0" hidden="1" customWidth="1"/>
    <col min="5219" max="5219" width="12" customWidth="1"/>
    <col min="5220" max="5223" width="0" hidden="1" customWidth="1"/>
    <col min="5224" max="5224" width="10.28515625" customWidth="1"/>
    <col min="5225" max="5225" width="12.28515625" customWidth="1"/>
    <col min="5227" max="5227" width="17.140625" customWidth="1"/>
    <col min="5228" max="5228" width="6.42578125" customWidth="1"/>
    <col min="5229" max="5229" width="10" customWidth="1"/>
    <col min="5230" max="5230" width="6.28515625" customWidth="1"/>
    <col min="5231" max="5231" width="9.42578125" customWidth="1"/>
    <col min="5232" max="5232" width="5.7109375" customWidth="1"/>
    <col min="5233" max="5233" width="9" customWidth="1"/>
    <col min="5234" max="5234" width="5.7109375" customWidth="1"/>
    <col min="5235" max="5235" width="8.28515625" customWidth="1"/>
    <col min="5236" max="5236" width="5.5703125" customWidth="1"/>
    <col min="5237" max="5237" width="8" customWidth="1"/>
    <col min="5238" max="5238" width="5.85546875" customWidth="1"/>
    <col min="5239" max="5239" width="8.85546875" customWidth="1"/>
    <col min="5240" max="5241" width="8" customWidth="1"/>
    <col min="5242" max="5242" width="5.85546875" customWidth="1"/>
    <col min="5243" max="5243" width="6.42578125" customWidth="1"/>
    <col min="5244" max="5244" width="0" hidden="1" customWidth="1"/>
    <col min="5245" max="5245" width="12.42578125" customWidth="1"/>
    <col min="5462" max="5462" width="4.5703125" customWidth="1"/>
    <col min="5463" max="5463" width="30.140625" customWidth="1"/>
    <col min="5464" max="5464" width="0" hidden="1" customWidth="1"/>
    <col min="5465" max="5465" width="8.28515625" customWidth="1"/>
    <col min="5466" max="5466" width="10.140625" customWidth="1"/>
    <col min="5467" max="5467" width="8.85546875" customWidth="1"/>
    <col min="5468" max="5469" width="0" hidden="1" customWidth="1"/>
    <col min="5470" max="5470" width="10.140625" customWidth="1"/>
    <col min="5471" max="5471" width="0" hidden="1" customWidth="1"/>
    <col min="5472" max="5472" width="7.28515625" customWidth="1"/>
    <col min="5473" max="5474" width="0" hidden="1" customWidth="1"/>
    <col min="5475" max="5475" width="12" customWidth="1"/>
    <col min="5476" max="5479" width="0" hidden="1" customWidth="1"/>
    <col min="5480" max="5480" width="10.28515625" customWidth="1"/>
    <col min="5481" max="5481" width="12.28515625" customWidth="1"/>
    <col min="5483" max="5483" width="17.140625" customWidth="1"/>
    <col min="5484" max="5484" width="6.42578125" customWidth="1"/>
    <col min="5485" max="5485" width="10" customWidth="1"/>
    <col min="5486" max="5486" width="6.28515625" customWidth="1"/>
    <col min="5487" max="5487" width="9.42578125" customWidth="1"/>
    <col min="5488" max="5488" width="5.7109375" customWidth="1"/>
    <col min="5489" max="5489" width="9" customWidth="1"/>
    <col min="5490" max="5490" width="5.7109375" customWidth="1"/>
    <col min="5491" max="5491" width="8.28515625" customWidth="1"/>
    <col min="5492" max="5492" width="5.5703125" customWidth="1"/>
    <col min="5493" max="5493" width="8" customWidth="1"/>
    <col min="5494" max="5494" width="5.85546875" customWidth="1"/>
    <col min="5495" max="5495" width="8.85546875" customWidth="1"/>
    <col min="5496" max="5497" width="8" customWidth="1"/>
    <col min="5498" max="5498" width="5.85546875" customWidth="1"/>
    <col min="5499" max="5499" width="6.42578125" customWidth="1"/>
    <col min="5500" max="5500" width="0" hidden="1" customWidth="1"/>
    <col min="5501" max="5501" width="12.42578125" customWidth="1"/>
    <col min="5718" max="5718" width="4.5703125" customWidth="1"/>
    <col min="5719" max="5719" width="30.140625" customWidth="1"/>
    <col min="5720" max="5720" width="0" hidden="1" customWidth="1"/>
    <col min="5721" max="5721" width="8.28515625" customWidth="1"/>
    <col min="5722" max="5722" width="10.140625" customWidth="1"/>
    <col min="5723" max="5723" width="8.85546875" customWidth="1"/>
    <col min="5724" max="5725" width="0" hidden="1" customWidth="1"/>
    <col min="5726" max="5726" width="10.140625" customWidth="1"/>
    <col min="5727" max="5727" width="0" hidden="1" customWidth="1"/>
    <col min="5728" max="5728" width="7.28515625" customWidth="1"/>
    <col min="5729" max="5730" width="0" hidden="1" customWidth="1"/>
    <col min="5731" max="5731" width="12" customWidth="1"/>
    <col min="5732" max="5735" width="0" hidden="1" customWidth="1"/>
    <col min="5736" max="5736" width="10.28515625" customWidth="1"/>
    <col min="5737" max="5737" width="12.28515625" customWidth="1"/>
    <col min="5739" max="5739" width="17.140625" customWidth="1"/>
    <col min="5740" max="5740" width="6.42578125" customWidth="1"/>
    <col min="5741" max="5741" width="10" customWidth="1"/>
    <col min="5742" max="5742" width="6.28515625" customWidth="1"/>
    <col min="5743" max="5743" width="9.42578125" customWidth="1"/>
    <col min="5744" max="5744" width="5.7109375" customWidth="1"/>
    <col min="5745" max="5745" width="9" customWidth="1"/>
    <col min="5746" max="5746" width="5.7109375" customWidth="1"/>
    <col min="5747" max="5747" width="8.28515625" customWidth="1"/>
    <col min="5748" max="5748" width="5.5703125" customWidth="1"/>
    <col min="5749" max="5749" width="8" customWidth="1"/>
    <col min="5750" max="5750" width="5.85546875" customWidth="1"/>
    <col min="5751" max="5751" width="8.85546875" customWidth="1"/>
    <col min="5752" max="5753" width="8" customWidth="1"/>
    <col min="5754" max="5754" width="5.85546875" customWidth="1"/>
    <col min="5755" max="5755" width="6.42578125" customWidth="1"/>
    <col min="5756" max="5756" width="0" hidden="1" customWidth="1"/>
    <col min="5757" max="5757" width="12.42578125" customWidth="1"/>
    <col min="5974" max="5974" width="4.5703125" customWidth="1"/>
    <col min="5975" max="5975" width="30.140625" customWidth="1"/>
    <col min="5976" max="5976" width="0" hidden="1" customWidth="1"/>
    <col min="5977" max="5977" width="8.28515625" customWidth="1"/>
    <col min="5978" max="5978" width="10.140625" customWidth="1"/>
    <col min="5979" max="5979" width="8.85546875" customWidth="1"/>
    <col min="5980" max="5981" width="0" hidden="1" customWidth="1"/>
    <col min="5982" max="5982" width="10.140625" customWidth="1"/>
    <col min="5983" max="5983" width="0" hidden="1" customWidth="1"/>
    <col min="5984" max="5984" width="7.28515625" customWidth="1"/>
    <col min="5985" max="5986" width="0" hidden="1" customWidth="1"/>
    <col min="5987" max="5987" width="12" customWidth="1"/>
    <col min="5988" max="5991" width="0" hidden="1" customWidth="1"/>
    <col min="5992" max="5992" width="10.28515625" customWidth="1"/>
    <col min="5993" max="5993" width="12.28515625" customWidth="1"/>
    <col min="5995" max="5995" width="17.140625" customWidth="1"/>
    <col min="5996" max="5996" width="6.42578125" customWidth="1"/>
    <col min="5997" max="5997" width="10" customWidth="1"/>
    <col min="5998" max="5998" width="6.28515625" customWidth="1"/>
    <col min="5999" max="5999" width="9.42578125" customWidth="1"/>
    <col min="6000" max="6000" width="5.7109375" customWidth="1"/>
    <col min="6001" max="6001" width="9" customWidth="1"/>
    <col min="6002" max="6002" width="5.7109375" customWidth="1"/>
    <col min="6003" max="6003" width="8.28515625" customWidth="1"/>
    <col min="6004" max="6004" width="5.5703125" customWidth="1"/>
    <col min="6005" max="6005" width="8" customWidth="1"/>
    <col min="6006" max="6006" width="5.85546875" customWidth="1"/>
    <col min="6007" max="6007" width="8.85546875" customWidth="1"/>
    <col min="6008" max="6009" width="8" customWidth="1"/>
    <col min="6010" max="6010" width="5.85546875" customWidth="1"/>
    <col min="6011" max="6011" width="6.42578125" customWidth="1"/>
    <col min="6012" max="6012" width="0" hidden="1" customWidth="1"/>
    <col min="6013" max="6013" width="12.42578125" customWidth="1"/>
    <col min="6230" max="6230" width="4.5703125" customWidth="1"/>
    <col min="6231" max="6231" width="30.140625" customWidth="1"/>
    <col min="6232" max="6232" width="0" hidden="1" customWidth="1"/>
    <col min="6233" max="6233" width="8.28515625" customWidth="1"/>
    <col min="6234" max="6234" width="10.140625" customWidth="1"/>
    <col min="6235" max="6235" width="8.85546875" customWidth="1"/>
    <col min="6236" max="6237" width="0" hidden="1" customWidth="1"/>
    <col min="6238" max="6238" width="10.140625" customWidth="1"/>
    <col min="6239" max="6239" width="0" hidden="1" customWidth="1"/>
    <col min="6240" max="6240" width="7.28515625" customWidth="1"/>
    <col min="6241" max="6242" width="0" hidden="1" customWidth="1"/>
    <col min="6243" max="6243" width="12" customWidth="1"/>
    <col min="6244" max="6247" width="0" hidden="1" customWidth="1"/>
    <col min="6248" max="6248" width="10.28515625" customWidth="1"/>
    <col min="6249" max="6249" width="12.28515625" customWidth="1"/>
    <col min="6251" max="6251" width="17.140625" customWidth="1"/>
    <col min="6252" max="6252" width="6.42578125" customWidth="1"/>
    <col min="6253" max="6253" width="10" customWidth="1"/>
    <col min="6254" max="6254" width="6.28515625" customWidth="1"/>
    <col min="6255" max="6255" width="9.42578125" customWidth="1"/>
    <col min="6256" max="6256" width="5.7109375" customWidth="1"/>
    <col min="6257" max="6257" width="9" customWidth="1"/>
    <col min="6258" max="6258" width="5.7109375" customWidth="1"/>
    <col min="6259" max="6259" width="8.28515625" customWidth="1"/>
    <col min="6260" max="6260" width="5.5703125" customWidth="1"/>
    <col min="6261" max="6261" width="8" customWidth="1"/>
    <col min="6262" max="6262" width="5.85546875" customWidth="1"/>
    <col min="6263" max="6263" width="8.85546875" customWidth="1"/>
    <col min="6264" max="6265" width="8" customWidth="1"/>
    <col min="6266" max="6266" width="5.85546875" customWidth="1"/>
    <col min="6267" max="6267" width="6.42578125" customWidth="1"/>
    <col min="6268" max="6268" width="0" hidden="1" customWidth="1"/>
    <col min="6269" max="6269" width="12.42578125" customWidth="1"/>
    <col min="6486" max="6486" width="4.5703125" customWidth="1"/>
    <col min="6487" max="6487" width="30.140625" customWidth="1"/>
    <col min="6488" max="6488" width="0" hidden="1" customWidth="1"/>
    <col min="6489" max="6489" width="8.28515625" customWidth="1"/>
    <col min="6490" max="6490" width="10.140625" customWidth="1"/>
    <col min="6491" max="6491" width="8.85546875" customWidth="1"/>
    <col min="6492" max="6493" width="0" hidden="1" customWidth="1"/>
    <col min="6494" max="6494" width="10.140625" customWidth="1"/>
    <col min="6495" max="6495" width="0" hidden="1" customWidth="1"/>
    <col min="6496" max="6496" width="7.28515625" customWidth="1"/>
    <col min="6497" max="6498" width="0" hidden="1" customWidth="1"/>
    <col min="6499" max="6499" width="12" customWidth="1"/>
    <col min="6500" max="6503" width="0" hidden="1" customWidth="1"/>
    <col min="6504" max="6504" width="10.28515625" customWidth="1"/>
    <col min="6505" max="6505" width="12.28515625" customWidth="1"/>
    <col min="6507" max="6507" width="17.140625" customWidth="1"/>
    <col min="6508" max="6508" width="6.42578125" customWidth="1"/>
    <col min="6509" max="6509" width="10" customWidth="1"/>
    <col min="6510" max="6510" width="6.28515625" customWidth="1"/>
    <col min="6511" max="6511" width="9.42578125" customWidth="1"/>
    <col min="6512" max="6512" width="5.7109375" customWidth="1"/>
    <col min="6513" max="6513" width="9" customWidth="1"/>
    <col min="6514" max="6514" width="5.7109375" customWidth="1"/>
    <col min="6515" max="6515" width="8.28515625" customWidth="1"/>
    <col min="6516" max="6516" width="5.5703125" customWidth="1"/>
    <col min="6517" max="6517" width="8" customWidth="1"/>
    <col min="6518" max="6518" width="5.85546875" customWidth="1"/>
    <col min="6519" max="6519" width="8.85546875" customWidth="1"/>
    <col min="6520" max="6521" width="8" customWidth="1"/>
    <col min="6522" max="6522" width="5.85546875" customWidth="1"/>
    <col min="6523" max="6523" width="6.42578125" customWidth="1"/>
    <col min="6524" max="6524" width="0" hidden="1" customWidth="1"/>
    <col min="6525" max="6525" width="12.42578125" customWidth="1"/>
    <col min="6742" max="6742" width="4.5703125" customWidth="1"/>
    <col min="6743" max="6743" width="30.140625" customWidth="1"/>
    <col min="6744" max="6744" width="0" hidden="1" customWidth="1"/>
    <col min="6745" max="6745" width="8.28515625" customWidth="1"/>
    <col min="6746" max="6746" width="10.140625" customWidth="1"/>
    <col min="6747" max="6747" width="8.85546875" customWidth="1"/>
    <col min="6748" max="6749" width="0" hidden="1" customWidth="1"/>
    <col min="6750" max="6750" width="10.140625" customWidth="1"/>
    <col min="6751" max="6751" width="0" hidden="1" customWidth="1"/>
    <col min="6752" max="6752" width="7.28515625" customWidth="1"/>
    <col min="6753" max="6754" width="0" hidden="1" customWidth="1"/>
    <col min="6755" max="6755" width="12" customWidth="1"/>
    <col min="6756" max="6759" width="0" hidden="1" customWidth="1"/>
    <col min="6760" max="6760" width="10.28515625" customWidth="1"/>
    <col min="6761" max="6761" width="12.28515625" customWidth="1"/>
    <col min="6763" max="6763" width="17.140625" customWidth="1"/>
    <col min="6764" max="6764" width="6.42578125" customWidth="1"/>
    <col min="6765" max="6765" width="10" customWidth="1"/>
    <col min="6766" max="6766" width="6.28515625" customWidth="1"/>
    <col min="6767" max="6767" width="9.42578125" customWidth="1"/>
    <col min="6768" max="6768" width="5.7109375" customWidth="1"/>
    <col min="6769" max="6769" width="9" customWidth="1"/>
    <col min="6770" max="6770" width="5.7109375" customWidth="1"/>
    <col min="6771" max="6771" width="8.28515625" customWidth="1"/>
    <col min="6772" max="6772" width="5.5703125" customWidth="1"/>
    <col min="6773" max="6773" width="8" customWidth="1"/>
    <col min="6774" max="6774" width="5.85546875" customWidth="1"/>
    <col min="6775" max="6775" width="8.85546875" customWidth="1"/>
    <col min="6776" max="6777" width="8" customWidth="1"/>
    <col min="6778" max="6778" width="5.85546875" customWidth="1"/>
    <col min="6779" max="6779" width="6.42578125" customWidth="1"/>
    <col min="6780" max="6780" width="0" hidden="1" customWidth="1"/>
    <col min="6781" max="6781" width="12.42578125" customWidth="1"/>
    <col min="6998" max="6998" width="4.5703125" customWidth="1"/>
    <col min="6999" max="6999" width="30.140625" customWidth="1"/>
    <col min="7000" max="7000" width="0" hidden="1" customWidth="1"/>
    <col min="7001" max="7001" width="8.28515625" customWidth="1"/>
    <col min="7002" max="7002" width="10.140625" customWidth="1"/>
    <col min="7003" max="7003" width="8.85546875" customWidth="1"/>
    <col min="7004" max="7005" width="0" hidden="1" customWidth="1"/>
    <col min="7006" max="7006" width="10.140625" customWidth="1"/>
    <col min="7007" max="7007" width="0" hidden="1" customWidth="1"/>
    <col min="7008" max="7008" width="7.28515625" customWidth="1"/>
    <col min="7009" max="7010" width="0" hidden="1" customWidth="1"/>
    <col min="7011" max="7011" width="12" customWidth="1"/>
    <col min="7012" max="7015" width="0" hidden="1" customWidth="1"/>
    <col min="7016" max="7016" width="10.28515625" customWidth="1"/>
    <col min="7017" max="7017" width="12.28515625" customWidth="1"/>
    <col min="7019" max="7019" width="17.140625" customWidth="1"/>
    <col min="7020" max="7020" width="6.42578125" customWidth="1"/>
    <col min="7021" max="7021" width="10" customWidth="1"/>
    <col min="7022" max="7022" width="6.28515625" customWidth="1"/>
    <col min="7023" max="7023" width="9.42578125" customWidth="1"/>
    <col min="7024" max="7024" width="5.7109375" customWidth="1"/>
    <col min="7025" max="7025" width="9" customWidth="1"/>
    <col min="7026" max="7026" width="5.7109375" customWidth="1"/>
    <col min="7027" max="7027" width="8.28515625" customWidth="1"/>
    <col min="7028" max="7028" width="5.5703125" customWidth="1"/>
    <col min="7029" max="7029" width="8" customWidth="1"/>
    <col min="7030" max="7030" width="5.85546875" customWidth="1"/>
    <col min="7031" max="7031" width="8.85546875" customWidth="1"/>
    <col min="7032" max="7033" width="8" customWidth="1"/>
    <col min="7034" max="7034" width="5.85546875" customWidth="1"/>
    <col min="7035" max="7035" width="6.42578125" customWidth="1"/>
    <col min="7036" max="7036" width="0" hidden="1" customWidth="1"/>
    <col min="7037" max="7037" width="12.42578125" customWidth="1"/>
    <col min="7254" max="7254" width="4.5703125" customWidth="1"/>
    <col min="7255" max="7255" width="30.140625" customWidth="1"/>
    <col min="7256" max="7256" width="0" hidden="1" customWidth="1"/>
    <col min="7257" max="7257" width="8.28515625" customWidth="1"/>
    <col min="7258" max="7258" width="10.140625" customWidth="1"/>
    <col min="7259" max="7259" width="8.85546875" customWidth="1"/>
    <col min="7260" max="7261" width="0" hidden="1" customWidth="1"/>
    <col min="7262" max="7262" width="10.140625" customWidth="1"/>
    <col min="7263" max="7263" width="0" hidden="1" customWidth="1"/>
    <col min="7264" max="7264" width="7.28515625" customWidth="1"/>
    <col min="7265" max="7266" width="0" hidden="1" customWidth="1"/>
    <col min="7267" max="7267" width="12" customWidth="1"/>
    <col min="7268" max="7271" width="0" hidden="1" customWidth="1"/>
    <col min="7272" max="7272" width="10.28515625" customWidth="1"/>
    <col min="7273" max="7273" width="12.28515625" customWidth="1"/>
    <col min="7275" max="7275" width="17.140625" customWidth="1"/>
    <col min="7276" max="7276" width="6.42578125" customWidth="1"/>
    <col min="7277" max="7277" width="10" customWidth="1"/>
    <col min="7278" max="7278" width="6.28515625" customWidth="1"/>
    <col min="7279" max="7279" width="9.42578125" customWidth="1"/>
    <col min="7280" max="7280" width="5.7109375" customWidth="1"/>
    <col min="7281" max="7281" width="9" customWidth="1"/>
    <col min="7282" max="7282" width="5.7109375" customWidth="1"/>
    <col min="7283" max="7283" width="8.28515625" customWidth="1"/>
    <col min="7284" max="7284" width="5.5703125" customWidth="1"/>
    <col min="7285" max="7285" width="8" customWidth="1"/>
    <col min="7286" max="7286" width="5.85546875" customWidth="1"/>
    <col min="7287" max="7287" width="8.85546875" customWidth="1"/>
    <col min="7288" max="7289" width="8" customWidth="1"/>
    <col min="7290" max="7290" width="5.85546875" customWidth="1"/>
    <col min="7291" max="7291" width="6.42578125" customWidth="1"/>
    <col min="7292" max="7292" width="0" hidden="1" customWidth="1"/>
    <col min="7293" max="7293" width="12.42578125" customWidth="1"/>
    <col min="7510" max="7510" width="4.5703125" customWidth="1"/>
    <col min="7511" max="7511" width="30.140625" customWidth="1"/>
    <col min="7512" max="7512" width="0" hidden="1" customWidth="1"/>
    <col min="7513" max="7513" width="8.28515625" customWidth="1"/>
    <col min="7514" max="7514" width="10.140625" customWidth="1"/>
    <col min="7515" max="7515" width="8.85546875" customWidth="1"/>
    <col min="7516" max="7517" width="0" hidden="1" customWidth="1"/>
    <col min="7518" max="7518" width="10.140625" customWidth="1"/>
    <col min="7519" max="7519" width="0" hidden="1" customWidth="1"/>
    <col min="7520" max="7520" width="7.28515625" customWidth="1"/>
    <col min="7521" max="7522" width="0" hidden="1" customWidth="1"/>
    <col min="7523" max="7523" width="12" customWidth="1"/>
    <col min="7524" max="7527" width="0" hidden="1" customWidth="1"/>
    <col min="7528" max="7528" width="10.28515625" customWidth="1"/>
    <col min="7529" max="7529" width="12.28515625" customWidth="1"/>
    <col min="7531" max="7531" width="17.140625" customWidth="1"/>
    <col min="7532" max="7532" width="6.42578125" customWidth="1"/>
    <col min="7533" max="7533" width="10" customWidth="1"/>
    <col min="7534" max="7534" width="6.28515625" customWidth="1"/>
    <col min="7535" max="7535" width="9.42578125" customWidth="1"/>
    <col min="7536" max="7536" width="5.7109375" customWidth="1"/>
    <col min="7537" max="7537" width="9" customWidth="1"/>
    <col min="7538" max="7538" width="5.7109375" customWidth="1"/>
    <col min="7539" max="7539" width="8.28515625" customWidth="1"/>
    <col min="7540" max="7540" width="5.5703125" customWidth="1"/>
    <col min="7541" max="7541" width="8" customWidth="1"/>
    <col min="7542" max="7542" width="5.85546875" customWidth="1"/>
    <col min="7543" max="7543" width="8.85546875" customWidth="1"/>
    <col min="7544" max="7545" width="8" customWidth="1"/>
    <col min="7546" max="7546" width="5.85546875" customWidth="1"/>
    <col min="7547" max="7547" width="6.42578125" customWidth="1"/>
    <col min="7548" max="7548" width="0" hidden="1" customWidth="1"/>
    <col min="7549" max="7549" width="12.42578125" customWidth="1"/>
    <col min="7766" max="7766" width="4.5703125" customWidth="1"/>
    <col min="7767" max="7767" width="30.140625" customWidth="1"/>
    <col min="7768" max="7768" width="0" hidden="1" customWidth="1"/>
    <col min="7769" max="7769" width="8.28515625" customWidth="1"/>
    <col min="7770" max="7770" width="10.140625" customWidth="1"/>
    <col min="7771" max="7771" width="8.85546875" customWidth="1"/>
    <col min="7772" max="7773" width="0" hidden="1" customWidth="1"/>
    <col min="7774" max="7774" width="10.140625" customWidth="1"/>
    <col min="7775" max="7775" width="0" hidden="1" customWidth="1"/>
    <col min="7776" max="7776" width="7.28515625" customWidth="1"/>
    <col min="7777" max="7778" width="0" hidden="1" customWidth="1"/>
    <col min="7779" max="7779" width="12" customWidth="1"/>
    <col min="7780" max="7783" width="0" hidden="1" customWidth="1"/>
    <col min="7784" max="7784" width="10.28515625" customWidth="1"/>
    <col min="7785" max="7785" width="12.28515625" customWidth="1"/>
    <col min="7787" max="7787" width="17.140625" customWidth="1"/>
    <col min="7788" max="7788" width="6.42578125" customWidth="1"/>
    <col min="7789" max="7789" width="10" customWidth="1"/>
    <col min="7790" max="7790" width="6.28515625" customWidth="1"/>
    <col min="7791" max="7791" width="9.42578125" customWidth="1"/>
    <col min="7792" max="7792" width="5.7109375" customWidth="1"/>
    <col min="7793" max="7793" width="9" customWidth="1"/>
    <col min="7794" max="7794" width="5.7109375" customWidth="1"/>
    <col min="7795" max="7795" width="8.28515625" customWidth="1"/>
    <col min="7796" max="7796" width="5.5703125" customWidth="1"/>
    <col min="7797" max="7797" width="8" customWidth="1"/>
    <col min="7798" max="7798" width="5.85546875" customWidth="1"/>
    <col min="7799" max="7799" width="8.85546875" customWidth="1"/>
    <col min="7800" max="7801" width="8" customWidth="1"/>
    <col min="7802" max="7802" width="5.85546875" customWidth="1"/>
    <col min="7803" max="7803" width="6.42578125" customWidth="1"/>
    <col min="7804" max="7804" width="0" hidden="1" customWidth="1"/>
    <col min="7805" max="7805" width="12.42578125" customWidth="1"/>
    <col min="8022" max="8022" width="4.5703125" customWidth="1"/>
    <col min="8023" max="8023" width="30.140625" customWidth="1"/>
    <col min="8024" max="8024" width="0" hidden="1" customWidth="1"/>
    <col min="8025" max="8025" width="8.28515625" customWidth="1"/>
    <col min="8026" max="8026" width="10.140625" customWidth="1"/>
    <col min="8027" max="8027" width="8.85546875" customWidth="1"/>
    <col min="8028" max="8029" width="0" hidden="1" customWidth="1"/>
    <col min="8030" max="8030" width="10.140625" customWidth="1"/>
    <col min="8031" max="8031" width="0" hidden="1" customWidth="1"/>
    <col min="8032" max="8032" width="7.28515625" customWidth="1"/>
    <col min="8033" max="8034" width="0" hidden="1" customWidth="1"/>
    <col min="8035" max="8035" width="12" customWidth="1"/>
    <col min="8036" max="8039" width="0" hidden="1" customWidth="1"/>
    <col min="8040" max="8040" width="10.28515625" customWidth="1"/>
    <col min="8041" max="8041" width="12.28515625" customWidth="1"/>
    <col min="8043" max="8043" width="17.140625" customWidth="1"/>
    <col min="8044" max="8044" width="6.42578125" customWidth="1"/>
    <col min="8045" max="8045" width="10" customWidth="1"/>
    <col min="8046" max="8046" width="6.28515625" customWidth="1"/>
    <col min="8047" max="8047" width="9.42578125" customWidth="1"/>
    <col min="8048" max="8048" width="5.7109375" customWidth="1"/>
    <col min="8049" max="8049" width="9" customWidth="1"/>
    <col min="8050" max="8050" width="5.7109375" customWidth="1"/>
    <col min="8051" max="8051" width="8.28515625" customWidth="1"/>
    <col min="8052" max="8052" width="5.5703125" customWidth="1"/>
    <col min="8053" max="8053" width="8" customWidth="1"/>
    <col min="8054" max="8054" width="5.85546875" customWidth="1"/>
    <col min="8055" max="8055" width="8.85546875" customWidth="1"/>
    <col min="8056" max="8057" width="8" customWidth="1"/>
    <col min="8058" max="8058" width="5.85546875" customWidth="1"/>
    <col min="8059" max="8059" width="6.42578125" customWidth="1"/>
    <col min="8060" max="8060" width="0" hidden="1" customWidth="1"/>
    <col min="8061" max="8061" width="12.42578125" customWidth="1"/>
    <col min="8278" max="8278" width="4.5703125" customWidth="1"/>
    <col min="8279" max="8279" width="30.140625" customWidth="1"/>
    <col min="8280" max="8280" width="0" hidden="1" customWidth="1"/>
    <col min="8281" max="8281" width="8.28515625" customWidth="1"/>
    <col min="8282" max="8282" width="10.140625" customWidth="1"/>
    <col min="8283" max="8283" width="8.85546875" customWidth="1"/>
    <col min="8284" max="8285" width="0" hidden="1" customWidth="1"/>
    <col min="8286" max="8286" width="10.140625" customWidth="1"/>
    <col min="8287" max="8287" width="0" hidden="1" customWidth="1"/>
    <col min="8288" max="8288" width="7.28515625" customWidth="1"/>
    <col min="8289" max="8290" width="0" hidden="1" customWidth="1"/>
    <col min="8291" max="8291" width="12" customWidth="1"/>
    <col min="8292" max="8295" width="0" hidden="1" customWidth="1"/>
    <col min="8296" max="8296" width="10.28515625" customWidth="1"/>
    <col min="8297" max="8297" width="12.28515625" customWidth="1"/>
    <col min="8299" max="8299" width="17.140625" customWidth="1"/>
    <col min="8300" max="8300" width="6.42578125" customWidth="1"/>
    <col min="8301" max="8301" width="10" customWidth="1"/>
    <col min="8302" max="8302" width="6.28515625" customWidth="1"/>
    <col min="8303" max="8303" width="9.42578125" customWidth="1"/>
    <col min="8304" max="8304" width="5.7109375" customWidth="1"/>
    <col min="8305" max="8305" width="9" customWidth="1"/>
    <col min="8306" max="8306" width="5.7109375" customWidth="1"/>
    <col min="8307" max="8307" width="8.28515625" customWidth="1"/>
    <col min="8308" max="8308" width="5.5703125" customWidth="1"/>
    <col min="8309" max="8309" width="8" customWidth="1"/>
    <col min="8310" max="8310" width="5.85546875" customWidth="1"/>
    <col min="8311" max="8311" width="8.85546875" customWidth="1"/>
    <col min="8312" max="8313" width="8" customWidth="1"/>
    <col min="8314" max="8314" width="5.85546875" customWidth="1"/>
    <col min="8315" max="8315" width="6.42578125" customWidth="1"/>
    <col min="8316" max="8316" width="0" hidden="1" customWidth="1"/>
    <col min="8317" max="8317" width="12.42578125" customWidth="1"/>
    <col min="8534" max="8534" width="4.5703125" customWidth="1"/>
    <col min="8535" max="8535" width="30.140625" customWidth="1"/>
    <col min="8536" max="8536" width="0" hidden="1" customWidth="1"/>
    <col min="8537" max="8537" width="8.28515625" customWidth="1"/>
    <col min="8538" max="8538" width="10.140625" customWidth="1"/>
    <col min="8539" max="8539" width="8.85546875" customWidth="1"/>
    <col min="8540" max="8541" width="0" hidden="1" customWidth="1"/>
    <col min="8542" max="8542" width="10.140625" customWidth="1"/>
    <col min="8543" max="8543" width="0" hidden="1" customWidth="1"/>
    <col min="8544" max="8544" width="7.28515625" customWidth="1"/>
    <col min="8545" max="8546" width="0" hidden="1" customWidth="1"/>
    <col min="8547" max="8547" width="12" customWidth="1"/>
    <col min="8548" max="8551" width="0" hidden="1" customWidth="1"/>
    <col min="8552" max="8552" width="10.28515625" customWidth="1"/>
    <col min="8553" max="8553" width="12.28515625" customWidth="1"/>
    <col min="8555" max="8555" width="17.140625" customWidth="1"/>
    <col min="8556" max="8556" width="6.42578125" customWidth="1"/>
    <col min="8557" max="8557" width="10" customWidth="1"/>
    <col min="8558" max="8558" width="6.28515625" customWidth="1"/>
    <col min="8559" max="8559" width="9.42578125" customWidth="1"/>
    <col min="8560" max="8560" width="5.7109375" customWidth="1"/>
    <col min="8561" max="8561" width="9" customWidth="1"/>
    <col min="8562" max="8562" width="5.7109375" customWidth="1"/>
    <col min="8563" max="8563" width="8.28515625" customWidth="1"/>
    <col min="8564" max="8564" width="5.5703125" customWidth="1"/>
    <col min="8565" max="8565" width="8" customWidth="1"/>
    <col min="8566" max="8566" width="5.85546875" customWidth="1"/>
    <col min="8567" max="8567" width="8.85546875" customWidth="1"/>
    <col min="8568" max="8569" width="8" customWidth="1"/>
    <col min="8570" max="8570" width="5.85546875" customWidth="1"/>
    <col min="8571" max="8571" width="6.42578125" customWidth="1"/>
    <col min="8572" max="8572" width="0" hidden="1" customWidth="1"/>
    <col min="8573" max="8573" width="12.42578125" customWidth="1"/>
    <col min="8790" max="8790" width="4.5703125" customWidth="1"/>
    <col min="8791" max="8791" width="30.140625" customWidth="1"/>
    <col min="8792" max="8792" width="0" hidden="1" customWidth="1"/>
    <col min="8793" max="8793" width="8.28515625" customWidth="1"/>
    <col min="8794" max="8794" width="10.140625" customWidth="1"/>
    <col min="8795" max="8795" width="8.85546875" customWidth="1"/>
    <col min="8796" max="8797" width="0" hidden="1" customWidth="1"/>
    <col min="8798" max="8798" width="10.140625" customWidth="1"/>
    <col min="8799" max="8799" width="0" hidden="1" customWidth="1"/>
    <col min="8800" max="8800" width="7.28515625" customWidth="1"/>
    <col min="8801" max="8802" width="0" hidden="1" customWidth="1"/>
    <col min="8803" max="8803" width="12" customWidth="1"/>
    <col min="8804" max="8807" width="0" hidden="1" customWidth="1"/>
    <col min="8808" max="8808" width="10.28515625" customWidth="1"/>
    <col min="8809" max="8809" width="12.28515625" customWidth="1"/>
    <col min="8811" max="8811" width="17.140625" customWidth="1"/>
    <col min="8812" max="8812" width="6.42578125" customWidth="1"/>
    <col min="8813" max="8813" width="10" customWidth="1"/>
    <col min="8814" max="8814" width="6.28515625" customWidth="1"/>
    <col min="8815" max="8815" width="9.42578125" customWidth="1"/>
    <col min="8816" max="8816" width="5.7109375" customWidth="1"/>
    <col min="8817" max="8817" width="9" customWidth="1"/>
    <col min="8818" max="8818" width="5.7109375" customWidth="1"/>
    <col min="8819" max="8819" width="8.28515625" customWidth="1"/>
    <col min="8820" max="8820" width="5.5703125" customWidth="1"/>
    <col min="8821" max="8821" width="8" customWidth="1"/>
    <col min="8822" max="8822" width="5.85546875" customWidth="1"/>
    <col min="8823" max="8823" width="8.85546875" customWidth="1"/>
    <col min="8824" max="8825" width="8" customWidth="1"/>
    <col min="8826" max="8826" width="5.85546875" customWidth="1"/>
    <col min="8827" max="8827" width="6.42578125" customWidth="1"/>
    <col min="8828" max="8828" width="0" hidden="1" customWidth="1"/>
    <col min="8829" max="8829" width="12.42578125" customWidth="1"/>
    <col min="9046" max="9046" width="4.5703125" customWidth="1"/>
    <col min="9047" max="9047" width="30.140625" customWidth="1"/>
    <col min="9048" max="9048" width="0" hidden="1" customWidth="1"/>
    <col min="9049" max="9049" width="8.28515625" customWidth="1"/>
    <col min="9050" max="9050" width="10.140625" customWidth="1"/>
    <col min="9051" max="9051" width="8.85546875" customWidth="1"/>
    <col min="9052" max="9053" width="0" hidden="1" customWidth="1"/>
    <col min="9054" max="9054" width="10.140625" customWidth="1"/>
    <col min="9055" max="9055" width="0" hidden="1" customWidth="1"/>
    <col min="9056" max="9056" width="7.28515625" customWidth="1"/>
    <col min="9057" max="9058" width="0" hidden="1" customWidth="1"/>
    <col min="9059" max="9059" width="12" customWidth="1"/>
    <col min="9060" max="9063" width="0" hidden="1" customWidth="1"/>
    <col min="9064" max="9064" width="10.28515625" customWidth="1"/>
    <col min="9065" max="9065" width="12.28515625" customWidth="1"/>
    <col min="9067" max="9067" width="17.140625" customWidth="1"/>
    <col min="9068" max="9068" width="6.42578125" customWidth="1"/>
    <col min="9069" max="9069" width="10" customWidth="1"/>
    <col min="9070" max="9070" width="6.28515625" customWidth="1"/>
    <col min="9071" max="9071" width="9.42578125" customWidth="1"/>
    <col min="9072" max="9072" width="5.7109375" customWidth="1"/>
    <col min="9073" max="9073" width="9" customWidth="1"/>
    <col min="9074" max="9074" width="5.7109375" customWidth="1"/>
    <col min="9075" max="9075" width="8.28515625" customWidth="1"/>
    <col min="9076" max="9076" width="5.5703125" customWidth="1"/>
    <col min="9077" max="9077" width="8" customWidth="1"/>
    <col min="9078" max="9078" width="5.85546875" customWidth="1"/>
    <col min="9079" max="9079" width="8.85546875" customWidth="1"/>
    <col min="9080" max="9081" width="8" customWidth="1"/>
    <col min="9082" max="9082" width="5.85546875" customWidth="1"/>
    <col min="9083" max="9083" width="6.42578125" customWidth="1"/>
    <col min="9084" max="9084" width="0" hidden="1" customWidth="1"/>
    <col min="9085" max="9085" width="12.42578125" customWidth="1"/>
    <col min="9302" max="9302" width="4.5703125" customWidth="1"/>
    <col min="9303" max="9303" width="30.140625" customWidth="1"/>
    <col min="9304" max="9304" width="0" hidden="1" customWidth="1"/>
    <col min="9305" max="9305" width="8.28515625" customWidth="1"/>
    <col min="9306" max="9306" width="10.140625" customWidth="1"/>
    <col min="9307" max="9307" width="8.85546875" customWidth="1"/>
    <col min="9308" max="9309" width="0" hidden="1" customWidth="1"/>
    <col min="9310" max="9310" width="10.140625" customWidth="1"/>
    <col min="9311" max="9311" width="0" hidden="1" customWidth="1"/>
    <col min="9312" max="9312" width="7.28515625" customWidth="1"/>
    <col min="9313" max="9314" width="0" hidden="1" customWidth="1"/>
    <col min="9315" max="9315" width="12" customWidth="1"/>
    <col min="9316" max="9319" width="0" hidden="1" customWidth="1"/>
    <col min="9320" max="9320" width="10.28515625" customWidth="1"/>
    <col min="9321" max="9321" width="12.28515625" customWidth="1"/>
    <col min="9323" max="9323" width="17.140625" customWidth="1"/>
    <col min="9324" max="9324" width="6.42578125" customWidth="1"/>
    <col min="9325" max="9325" width="10" customWidth="1"/>
    <col min="9326" max="9326" width="6.28515625" customWidth="1"/>
    <col min="9327" max="9327" width="9.42578125" customWidth="1"/>
    <col min="9328" max="9328" width="5.7109375" customWidth="1"/>
    <col min="9329" max="9329" width="9" customWidth="1"/>
    <col min="9330" max="9330" width="5.7109375" customWidth="1"/>
    <col min="9331" max="9331" width="8.28515625" customWidth="1"/>
    <col min="9332" max="9332" width="5.5703125" customWidth="1"/>
    <col min="9333" max="9333" width="8" customWidth="1"/>
    <col min="9334" max="9334" width="5.85546875" customWidth="1"/>
    <col min="9335" max="9335" width="8.85546875" customWidth="1"/>
    <col min="9336" max="9337" width="8" customWidth="1"/>
    <col min="9338" max="9338" width="5.85546875" customWidth="1"/>
    <col min="9339" max="9339" width="6.42578125" customWidth="1"/>
    <col min="9340" max="9340" width="0" hidden="1" customWidth="1"/>
    <col min="9341" max="9341" width="12.42578125" customWidth="1"/>
    <col min="9558" max="9558" width="4.5703125" customWidth="1"/>
    <col min="9559" max="9559" width="30.140625" customWidth="1"/>
    <col min="9560" max="9560" width="0" hidden="1" customWidth="1"/>
    <col min="9561" max="9561" width="8.28515625" customWidth="1"/>
    <col min="9562" max="9562" width="10.140625" customWidth="1"/>
    <col min="9563" max="9563" width="8.85546875" customWidth="1"/>
    <col min="9564" max="9565" width="0" hidden="1" customWidth="1"/>
    <col min="9566" max="9566" width="10.140625" customWidth="1"/>
    <col min="9567" max="9567" width="0" hidden="1" customWidth="1"/>
    <col min="9568" max="9568" width="7.28515625" customWidth="1"/>
    <col min="9569" max="9570" width="0" hidden="1" customWidth="1"/>
    <col min="9571" max="9571" width="12" customWidth="1"/>
    <col min="9572" max="9575" width="0" hidden="1" customWidth="1"/>
    <col min="9576" max="9576" width="10.28515625" customWidth="1"/>
    <col min="9577" max="9577" width="12.28515625" customWidth="1"/>
    <col min="9579" max="9579" width="17.140625" customWidth="1"/>
    <col min="9580" max="9580" width="6.42578125" customWidth="1"/>
    <col min="9581" max="9581" width="10" customWidth="1"/>
    <col min="9582" max="9582" width="6.28515625" customWidth="1"/>
    <col min="9583" max="9583" width="9.42578125" customWidth="1"/>
    <col min="9584" max="9584" width="5.7109375" customWidth="1"/>
    <col min="9585" max="9585" width="9" customWidth="1"/>
    <col min="9586" max="9586" width="5.7109375" customWidth="1"/>
    <col min="9587" max="9587" width="8.28515625" customWidth="1"/>
    <col min="9588" max="9588" width="5.5703125" customWidth="1"/>
    <col min="9589" max="9589" width="8" customWidth="1"/>
    <col min="9590" max="9590" width="5.85546875" customWidth="1"/>
    <col min="9591" max="9591" width="8.85546875" customWidth="1"/>
    <col min="9592" max="9593" width="8" customWidth="1"/>
    <col min="9594" max="9594" width="5.85546875" customWidth="1"/>
    <col min="9595" max="9595" width="6.42578125" customWidth="1"/>
    <col min="9596" max="9596" width="0" hidden="1" customWidth="1"/>
    <col min="9597" max="9597" width="12.42578125" customWidth="1"/>
    <col min="9814" max="9814" width="4.5703125" customWidth="1"/>
    <col min="9815" max="9815" width="30.140625" customWidth="1"/>
    <col min="9816" max="9816" width="0" hidden="1" customWidth="1"/>
    <col min="9817" max="9817" width="8.28515625" customWidth="1"/>
    <col min="9818" max="9818" width="10.140625" customWidth="1"/>
    <col min="9819" max="9819" width="8.85546875" customWidth="1"/>
    <col min="9820" max="9821" width="0" hidden="1" customWidth="1"/>
    <col min="9822" max="9822" width="10.140625" customWidth="1"/>
    <col min="9823" max="9823" width="0" hidden="1" customWidth="1"/>
    <col min="9824" max="9824" width="7.28515625" customWidth="1"/>
    <col min="9825" max="9826" width="0" hidden="1" customWidth="1"/>
    <col min="9827" max="9827" width="12" customWidth="1"/>
    <col min="9828" max="9831" width="0" hidden="1" customWidth="1"/>
    <col min="9832" max="9832" width="10.28515625" customWidth="1"/>
    <col min="9833" max="9833" width="12.28515625" customWidth="1"/>
    <col min="9835" max="9835" width="17.140625" customWidth="1"/>
    <col min="9836" max="9836" width="6.42578125" customWidth="1"/>
    <col min="9837" max="9837" width="10" customWidth="1"/>
    <col min="9838" max="9838" width="6.28515625" customWidth="1"/>
    <col min="9839" max="9839" width="9.42578125" customWidth="1"/>
    <col min="9840" max="9840" width="5.7109375" customWidth="1"/>
    <col min="9841" max="9841" width="9" customWidth="1"/>
    <col min="9842" max="9842" width="5.7109375" customWidth="1"/>
    <col min="9843" max="9843" width="8.28515625" customWidth="1"/>
    <col min="9844" max="9844" width="5.5703125" customWidth="1"/>
    <col min="9845" max="9845" width="8" customWidth="1"/>
    <col min="9846" max="9846" width="5.85546875" customWidth="1"/>
    <col min="9847" max="9847" width="8.85546875" customWidth="1"/>
    <col min="9848" max="9849" width="8" customWidth="1"/>
    <col min="9850" max="9850" width="5.85546875" customWidth="1"/>
    <col min="9851" max="9851" width="6.42578125" customWidth="1"/>
    <col min="9852" max="9852" width="0" hidden="1" customWidth="1"/>
    <col min="9853" max="9853" width="12.42578125" customWidth="1"/>
    <col min="10070" max="10070" width="4.5703125" customWidth="1"/>
    <col min="10071" max="10071" width="30.140625" customWidth="1"/>
    <col min="10072" max="10072" width="0" hidden="1" customWidth="1"/>
    <col min="10073" max="10073" width="8.28515625" customWidth="1"/>
    <col min="10074" max="10074" width="10.140625" customWidth="1"/>
    <col min="10075" max="10075" width="8.85546875" customWidth="1"/>
    <col min="10076" max="10077" width="0" hidden="1" customWidth="1"/>
    <col min="10078" max="10078" width="10.140625" customWidth="1"/>
    <col min="10079" max="10079" width="0" hidden="1" customWidth="1"/>
    <col min="10080" max="10080" width="7.28515625" customWidth="1"/>
    <col min="10081" max="10082" width="0" hidden="1" customWidth="1"/>
    <col min="10083" max="10083" width="12" customWidth="1"/>
    <col min="10084" max="10087" width="0" hidden="1" customWidth="1"/>
    <col min="10088" max="10088" width="10.28515625" customWidth="1"/>
    <col min="10089" max="10089" width="12.28515625" customWidth="1"/>
    <col min="10091" max="10091" width="17.140625" customWidth="1"/>
    <col min="10092" max="10092" width="6.42578125" customWidth="1"/>
    <col min="10093" max="10093" width="10" customWidth="1"/>
    <col min="10094" max="10094" width="6.28515625" customWidth="1"/>
    <col min="10095" max="10095" width="9.42578125" customWidth="1"/>
    <col min="10096" max="10096" width="5.7109375" customWidth="1"/>
    <col min="10097" max="10097" width="9" customWidth="1"/>
    <col min="10098" max="10098" width="5.7109375" customWidth="1"/>
    <col min="10099" max="10099" width="8.28515625" customWidth="1"/>
    <col min="10100" max="10100" width="5.5703125" customWidth="1"/>
    <col min="10101" max="10101" width="8" customWidth="1"/>
    <col min="10102" max="10102" width="5.85546875" customWidth="1"/>
    <col min="10103" max="10103" width="8.85546875" customWidth="1"/>
    <col min="10104" max="10105" width="8" customWidth="1"/>
    <col min="10106" max="10106" width="5.85546875" customWidth="1"/>
    <col min="10107" max="10107" width="6.42578125" customWidth="1"/>
    <col min="10108" max="10108" width="0" hidden="1" customWidth="1"/>
    <col min="10109" max="10109" width="12.42578125" customWidth="1"/>
    <col min="10326" max="10326" width="4.5703125" customWidth="1"/>
    <col min="10327" max="10327" width="30.140625" customWidth="1"/>
    <col min="10328" max="10328" width="0" hidden="1" customWidth="1"/>
    <col min="10329" max="10329" width="8.28515625" customWidth="1"/>
    <col min="10330" max="10330" width="10.140625" customWidth="1"/>
    <col min="10331" max="10331" width="8.85546875" customWidth="1"/>
    <col min="10332" max="10333" width="0" hidden="1" customWidth="1"/>
    <col min="10334" max="10334" width="10.140625" customWidth="1"/>
    <col min="10335" max="10335" width="0" hidden="1" customWidth="1"/>
    <col min="10336" max="10336" width="7.28515625" customWidth="1"/>
    <col min="10337" max="10338" width="0" hidden="1" customWidth="1"/>
    <col min="10339" max="10339" width="12" customWidth="1"/>
    <col min="10340" max="10343" width="0" hidden="1" customWidth="1"/>
    <col min="10344" max="10344" width="10.28515625" customWidth="1"/>
    <col min="10345" max="10345" width="12.28515625" customWidth="1"/>
    <col min="10347" max="10347" width="17.140625" customWidth="1"/>
    <col min="10348" max="10348" width="6.42578125" customWidth="1"/>
    <col min="10349" max="10349" width="10" customWidth="1"/>
    <col min="10350" max="10350" width="6.28515625" customWidth="1"/>
    <col min="10351" max="10351" width="9.42578125" customWidth="1"/>
    <col min="10352" max="10352" width="5.7109375" customWidth="1"/>
    <col min="10353" max="10353" width="9" customWidth="1"/>
    <col min="10354" max="10354" width="5.7109375" customWidth="1"/>
    <col min="10355" max="10355" width="8.28515625" customWidth="1"/>
    <col min="10356" max="10356" width="5.5703125" customWidth="1"/>
    <col min="10357" max="10357" width="8" customWidth="1"/>
    <col min="10358" max="10358" width="5.85546875" customWidth="1"/>
    <col min="10359" max="10359" width="8.85546875" customWidth="1"/>
    <col min="10360" max="10361" width="8" customWidth="1"/>
    <col min="10362" max="10362" width="5.85546875" customWidth="1"/>
    <col min="10363" max="10363" width="6.42578125" customWidth="1"/>
    <col min="10364" max="10364" width="0" hidden="1" customWidth="1"/>
    <col min="10365" max="10365" width="12.42578125" customWidth="1"/>
    <col min="10582" max="10582" width="4.5703125" customWidth="1"/>
    <col min="10583" max="10583" width="30.140625" customWidth="1"/>
    <col min="10584" max="10584" width="0" hidden="1" customWidth="1"/>
    <col min="10585" max="10585" width="8.28515625" customWidth="1"/>
    <col min="10586" max="10586" width="10.140625" customWidth="1"/>
    <col min="10587" max="10587" width="8.85546875" customWidth="1"/>
    <col min="10588" max="10589" width="0" hidden="1" customWidth="1"/>
    <col min="10590" max="10590" width="10.140625" customWidth="1"/>
    <col min="10591" max="10591" width="0" hidden="1" customWidth="1"/>
    <col min="10592" max="10592" width="7.28515625" customWidth="1"/>
    <col min="10593" max="10594" width="0" hidden="1" customWidth="1"/>
    <col min="10595" max="10595" width="12" customWidth="1"/>
    <col min="10596" max="10599" width="0" hidden="1" customWidth="1"/>
    <col min="10600" max="10600" width="10.28515625" customWidth="1"/>
    <col min="10601" max="10601" width="12.28515625" customWidth="1"/>
    <col min="10603" max="10603" width="17.140625" customWidth="1"/>
    <col min="10604" max="10604" width="6.42578125" customWidth="1"/>
    <col min="10605" max="10605" width="10" customWidth="1"/>
    <col min="10606" max="10606" width="6.28515625" customWidth="1"/>
    <col min="10607" max="10607" width="9.42578125" customWidth="1"/>
    <col min="10608" max="10608" width="5.7109375" customWidth="1"/>
    <col min="10609" max="10609" width="9" customWidth="1"/>
    <col min="10610" max="10610" width="5.7109375" customWidth="1"/>
    <col min="10611" max="10611" width="8.28515625" customWidth="1"/>
    <col min="10612" max="10612" width="5.5703125" customWidth="1"/>
    <col min="10613" max="10613" width="8" customWidth="1"/>
    <col min="10614" max="10614" width="5.85546875" customWidth="1"/>
    <col min="10615" max="10615" width="8.85546875" customWidth="1"/>
    <col min="10616" max="10617" width="8" customWidth="1"/>
    <col min="10618" max="10618" width="5.85546875" customWidth="1"/>
    <col min="10619" max="10619" width="6.42578125" customWidth="1"/>
    <col min="10620" max="10620" width="0" hidden="1" customWidth="1"/>
    <col min="10621" max="10621" width="12.42578125" customWidth="1"/>
    <col min="10838" max="10838" width="4.5703125" customWidth="1"/>
    <col min="10839" max="10839" width="30.140625" customWidth="1"/>
    <col min="10840" max="10840" width="0" hidden="1" customWidth="1"/>
    <col min="10841" max="10841" width="8.28515625" customWidth="1"/>
    <col min="10842" max="10842" width="10.140625" customWidth="1"/>
    <col min="10843" max="10843" width="8.85546875" customWidth="1"/>
    <col min="10844" max="10845" width="0" hidden="1" customWidth="1"/>
    <col min="10846" max="10846" width="10.140625" customWidth="1"/>
    <col min="10847" max="10847" width="0" hidden="1" customWidth="1"/>
    <col min="10848" max="10848" width="7.28515625" customWidth="1"/>
    <col min="10849" max="10850" width="0" hidden="1" customWidth="1"/>
    <col min="10851" max="10851" width="12" customWidth="1"/>
    <col min="10852" max="10855" width="0" hidden="1" customWidth="1"/>
    <col min="10856" max="10856" width="10.28515625" customWidth="1"/>
    <col min="10857" max="10857" width="12.28515625" customWidth="1"/>
    <col min="10859" max="10859" width="17.140625" customWidth="1"/>
    <col min="10860" max="10860" width="6.42578125" customWidth="1"/>
    <col min="10861" max="10861" width="10" customWidth="1"/>
    <col min="10862" max="10862" width="6.28515625" customWidth="1"/>
    <col min="10863" max="10863" width="9.42578125" customWidth="1"/>
    <col min="10864" max="10864" width="5.7109375" customWidth="1"/>
    <col min="10865" max="10865" width="9" customWidth="1"/>
    <col min="10866" max="10866" width="5.7109375" customWidth="1"/>
    <col min="10867" max="10867" width="8.28515625" customWidth="1"/>
    <col min="10868" max="10868" width="5.5703125" customWidth="1"/>
    <col min="10869" max="10869" width="8" customWidth="1"/>
    <col min="10870" max="10870" width="5.85546875" customWidth="1"/>
    <col min="10871" max="10871" width="8.85546875" customWidth="1"/>
    <col min="10872" max="10873" width="8" customWidth="1"/>
    <col min="10874" max="10874" width="5.85546875" customWidth="1"/>
    <col min="10875" max="10875" width="6.42578125" customWidth="1"/>
    <col min="10876" max="10876" width="0" hidden="1" customWidth="1"/>
    <col min="10877" max="10877" width="12.42578125" customWidth="1"/>
    <col min="11094" max="11094" width="4.5703125" customWidth="1"/>
    <col min="11095" max="11095" width="30.140625" customWidth="1"/>
    <col min="11096" max="11096" width="0" hidden="1" customWidth="1"/>
    <col min="11097" max="11097" width="8.28515625" customWidth="1"/>
    <col min="11098" max="11098" width="10.140625" customWidth="1"/>
    <col min="11099" max="11099" width="8.85546875" customWidth="1"/>
    <col min="11100" max="11101" width="0" hidden="1" customWidth="1"/>
    <col min="11102" max="11102" width="10.140625" customWidth="1"/>
    <col min="11103" max="11103" width="0" hidden="1" customWidth="1"/>
    <col min="11104" max="11104" width="7.28515625" customWidth="1"/>
    <col min="11105" max="11106" width="0" hidden="1" customWidth="1"/>
    <col min="11107" max="11107" width="12" customWidth="1"/>
    <col min="11108" max="11111" width="0" hidden="1" customWidth="1"/>
    <col min="11112" max="11112" width="10.28515625" customWidth="1"/>
    <col min="11113" max="11113" width="12.28515625" customWidth="1"/>
    <col min="11115" max="11115" width="17.140625" customWidth="1"/>
    <col min="11116" max="11116" width="6.42578125" customWidth="1"/>
    <col min="11117" max="11117" width="10" customWidth="1"/>
    <col min="11118" max="11118" width="6.28515625" customWidth="1"/>
    <col min="11119" max="11119" width="9.42578125" customWidth="1"/>
    <col min="11120" max="11120" width="5.7109375" customWidth="1"/>
    <col min="11121" max="11121" width="9" customWidth="1"/>
    <col min="11122" max="11122" width="5.7109375" customWidth="1"/>
    <col min="11123" max="11123" width="8.28515625" customWidth="1"/>
    <col min="11124" max="11124" width="5.5703125" customWidth="1"/>
    <col min="11125" max="11125" width="8" customWidth="1"/>
    <col min="11126" max="11126" width="5.85546875" customWidth="1"/>
    <col min="11127" max="11127" width="8.85546875" customWidth="1"/>
    <col min="11128" max="11129" width="8" customWidth="1"/>
    <col min="11130" max="11130" width="5.85546875" customWidth="1"/>
    <col min="11131" max="11131" width="6.42578125" customWidth="1"/>
    <col min="11132" max="11132" width="0" hidden="1" customWidth="1"/>
    <col min="11133" max="11133" width="12.42578125" customWidth="1"/>
    <col min="11350" max="11350" width="4.5703125" customWidth="1"/>
    <col min="11351" max="11351" width="30.140625" customWidth="1"/>
    <col min="11352" max="11352" width="0" hidden="1" customWidth="1"/>
    <col min="11353" max="11353" width="8.28515625" customWidth="1"/>
    <col min="11354" max="11354" width="10.140625" customWidth="1"/>
    <col min="11355" max="11355" width="8.85546875" customWidth="1"/>
    <col min="11356" max="11357" width="0" hidden="1" customWidth="1"/>
    <col min="11358" max="11358" width="10.140625" customWidth="1"/>
    <col min="11359" max="11359" width="0" hidden="1" customWidth="1"/>
    <col min="11360" max="11360" width="7.28515625" customWidth="1"/>
    <col min="11361" max="11362" width="0" hidden="1" customWidth="1"/>
    <col min="11363" max="11363" width="12" customWidth="1"/>
    <col min="11364" max="11367" width="0" hidden="1" customWidth="1"/>
    <col min="11368" max="11368" width="10.28515625" customWidth="1"/>
    <col min="11369" max="11369" width="12.28515625" customWidth="1"/>
    <col min="11371" max="11371" width="17.140625" customWidth="1"/>
    <col min="11372" max="11372" width="6.42578125" customWidth="1"/>
    <col min="11373" max="11373" width="10" customWidth="1"/>
    <col min="11374" max="11374" width="6.28515625" customWidth="1"/>
    <col min="11375" max="11375" width="9.42578125" customWidth="1"/>
    <col min="11376" max="11376" width="5.7109375" customWidth="1"/>
    <col min="11377" max="11377" width="9" customWidth="1"/>
    <col min="11378" max="11378" width="5.7109375" customWidth="1"/>
    <col min="11379" max="11379" width="8.28515625" customWidth="1"/>
    <col min="11380" max="11380" width="5.5703125" customWidth="1"/>
    <col min="11381" max="11381" width="8" customWidth="1"/>
    <col min="11382" max="11382" width="5.85546875" customWidth="1"/>
    <col min="11383" max="11383" width="8.85546875" customWidth="1"/>
    <col min="11384" max="11385" width="8" customWidth="1"/>
    <col min="11386" max="11386" width="5.85546875" customWidth="1"/>
    <col min="11387" max="11387" width="6.42578125" customWidth="1"/>
    <col min="11388" max="11388" width="0" hidden="1" customWidth="1"/>
    <col min="11389" max="11389" width="12.42578125" customWidth="1"/>
    <col min="11606" max="11606" width="4.5703125" customWidth="1"/>
    <col min="11607" max="11607" width="30.140625" customWidth="1"/>
    <col min="11608" max="11608" width="0" hidden="1" customWidth="1"/>
    <col min="11609" max="11609" width="8.28515625" customWidth="1"/>
    <col min="11610" max="11610" width="10.140625" customWidth="1"/>
    <col min="11611" max="11611" width="8.85546875" customWidth="1"/>
    <col min="11612" max="11613" width="0" hidden="1" customWidth="1"/>
    <col min="11614" max="11614" width="10.140625" customWidth="1"/>
    <col min="11615" max="11615" width="0" hidden="1" customWidth="1"/>
    <col min="11616" max="11616" width="7.28515625" customWidth="1"/>
    <col min="11617" max="11618" width="0" hidden="1" customWidth="1"/>
    <col min="11619" max="11619" width="12" customWidth="1"/>
    <col min="11620" max="11623" width="0" hidden="1" customWidth="1"/>
    <col min="11624" max="11624" width="10.28515625" customWidth="1"/>
    <col min="11625" max="11625" width="12.28515625" customWidth="1"/>
    <col min="11627" max="11627" width="17.140625" customWidth="1"/>
    <col min="11628" max="11628" width="6.42578125" customWidth="1"/>
    <col min="11629" max="11629" width="10" customWidth="1"/>
    <col min="11630" max="11630" width="6.28515625" customWidth="1"/>
    <col min="11631" max="11631" width="9.42578125" customWidth="1"/>
    <col min="11632" max="11632" width="5.7109375" customWidth="1"/>
    <col min="11633" max="11633" width="9" customWidth="1"/>
    <col min="11634" max="11634" width="5.7109375" customWidth="1"/>
    <col min="11635" max="11635" width="8.28515625" customWidth="1"/>
    <col min="11636" max="11636" width="5.5703125" customWidth="1"/>
    <col min="11637" max="11637" width="8" customWidth="1"/>
    <col min="11638" max="11638" width="5.85546875" customWidth="1"/>
    <col min="11639" max="11639" width="8.85546875" customWidth="1"/>
    <col min="11640" max="11641" width="8" customWidth="1"/>
    <col min="11642" max="11642" width="5.85546875" customWidth="1"/>
    <col min="11643" max="11643" width="6.42578125" customWidth="1"/>
    <col min="11644" max="11644" width="0" hidden="1" customWidth="1"/>
    <col min="11645" max="11645" width="12.42578125" customWidth="1"/>
    <col min="11862" max="11862" width="4.5703125" customWidth="1"/>
    <col min="11863" max="11863" width="30.140625" customWidth="1"/>
    <col min="11864" max="11864" width="0" hidden="1" customWidth="1"/>
    <col min="11865" max="11865" width="8.28515625" customWidth="1"/>
    <col min="11866" max="11866" width="10.140625" customWidth="1"/>
    <col min="11867" max="11867" width="8.85546875" customWidth="1"/>
    <col min="11868" max="11869" width="0" hidden="1" customWidth="1"/>
    <col min="11870" max="11870" width="10.140625" customWidth="1"/>
    <col min="11871" max="11871" width="0" hidden="1" customWidth="1"/>
    <col min="11872" max="11872" width="7.28515625" customWidth="1"/>
    <col min="11873" max="11874" width="0" hidden="1" customWidth="1"/>
    <col min="11875" max="11875" width="12" customWidth="1"/>
    <col min="11876" max="11879" width="0" hidden="1" customWidth="1"/>
    <col min="11880" max="11880" width="10.28515625" customWidth="1"/>
    <col min="11881" max="11881" width="12.28515625" customWidth="1"/>
    <col min="11883" max="11883" width="17.140625" customWidth="1"/>
    <col min="11884" max="11884" width="6.42578125" customWidth="1"/>
    <col min="11885" max="11885" width="10" customWidth="1"/>
    <col min="11886" max="11886" width="6.28515625" customWidth="1"/>
    <col min="11887" max="11887" width="9.42578125" customWidth="1"/>
    <col min="11888" max="11888" width="5.7109375" customWidth="1"/>
    <col min="11889" max="11889" width="9" customWidth="1"/>
    <col min="11890" max="11890" width="5.7109375" customWidth="1"/>
    <col min="11891" max="11891" width="8.28515625" customWidth="1"/>
    <col min="11892" max="11892" width="5.5703125" customWidth="1"/>
    <col min="11893" max="11893" width="8" customWidth="1"/>
    <col min="11894" max="11894" width="5.85546875" customWidth="1"/>
    <col min="11895" max="11895" width="8.85546875" customWidth="1"/>
    <col min="11896" max="11897" width="8" customWidth="1"/>
    <col min="11898" max="11898" width="5.85546875" customWidth="1"/>
    <col min="11899" max="11899" width="6.42578125" customWidth="1"/>
    <col min="11900" max="11900" width="0" hidden="1" customWidth="1"/>
    <col min="11901" max="11901" width="12.42578125" customWidth="1"/>
    <col min="12118" max="12118" width="4.5703125" customWidth="1"/>
    <col min="12119" max="12119" width="30.140625" customWidth="1"/>
    <col min="12120" max="12120" width="0" hidden="1" customWidth="1"/>
    <col min="12121" max="12121" width="8.28515625" customWidth="1"/>
    <col min="12122" max="12122" width="10.140625" customWidth="1"/>
    <col min="12123" max="12123" width="8.85546875" customWidth="1"/>
    <col min="12124" max="12125" width="0" hidden="1" customWidth="1"/>
    <col min="12126" max="12126" width="10.140625" customWidth="1"/>
    <col min="12127" max="12127" width="0" hidden="1" customWidth="1"/>
    <col min="12128" max="12128" width="7.28515625" customWidth="1"/>
    <col min="12129" max="12130" width="0" hidden="1" customWidth="1"/>
    <col min="12131" max="12131" width="12" customWidth="1"/>
    <col min="12132" max="12135" width="0" hidden="1" customWidth="1"/>
    <col min="12136" max="12136" width="10.28515625" customWidth="1"/>
    <col min="12137" max="12137" width="12.28515625" customWidth="1"/>
    <col min="12139" max="12139" width="17.140625" customWidth="1"/>
    <col min="12140" max="12140" width="6.42578125" customWidth="1"/>
    <col min="12141" max="12141" width="10" customWidth="1"/>
    <col min="12142" max="12142" width="6.28515625" customWidth="1"/>
    <col min="12143" max="12143" width="9.42578125" customWidth="1"/>
    <col min="12144" max="12144" width="5.7109375" customWidth="1"/>
    <col min="12145" max="12145" width="9" customWidth="1"/>
    <col min="12146" max="12146" width="5.7109375" customWidth="1"/>
    <col min="12147" max="12147" width="8.28515625" customWidth="1"/>
    <col min="12148" max="12148" width="5.5703125" customWidth="1"/>
    <col min="12149" max="12149" width="8" customWidth="1"/>
    <col min="12150" max="12150" width="5.85546875" customWidth="1"/>
    <col min="12151" max="12151" width="8.85546875" customWidth="1"/>
    <col min="12152" max="12153" width="8" customWidth="1"/>
    <col min="12154" max="12154" width="5.85546875" customWidth="1"/>
    <col min="12155" max="12155" width="6.42578125" customWidth="1"/>
    <col min="12156" max="12156" width="0" hidden="1" customWidth="1"/>
    <col min="12157" max="12157" width="12.42578125" customWidth="1"/>
    <col min="12374" max="12374" width="4.5703125" customWidth="1"/>
    <col min="12375" max="12375" width="30.140625" customWidth="1"/>
    <col min="12376" max="12376" width="0" hidden="1" customWidth="1"/>
    <col min="12377" max="12377" width="8.28515625" customWidth="1"/>
    <col min="12378" max="12378" width="10.140625" customWidth="1"/>
    <col min="12379" max="12379" width="8.85546875" customWidth="1"/>
    <col min="12380" max="12381" width="0" hidden="1" customWidth="1"/>
    <col min="12382" max="12382" width="10.140625" customWidth="1"/>
    <col min="12383" max="12383" width="0" hidden="1" customWidth="1"/>
    <col min="12384" max="12384" width="7.28515625" customWidth="1"/>
    <col min="12385" max="12386" width="0" hidden="1" customWidth="1"/>
    <col min="12387" max="12387" width="12" customWidth="1"/>
    <col min="12388" max="12391" width="0" hidden="1" customWidth="1"/>
    <col min="12392" max="12392" width="10.28515625" customWidth="1"/>
    <col min="12393" max="12393" width="12.28515625" customWidth="1"/>
    <col min="12395" max="12395" width="17.140625" customWidth="1"/>
    <col min="12396" max="12396" width="6.42578125" customWidth="1"/>
    <col min="12397" max="12397" width="10" customWidth="1"/>
    <col min="12398" max="12398" width="6.28515625" customWidth="1"/>
    <col min="12399" max="12399" width="9.42578125" customWidth="1"/>
    <col min="12400" max="12400" width="5.7109375" customWidth="1"/>
    <col min="12401" max="12401" width="9" customWidth="1"/>
    <col min="12402" max="12402" width="5.7109375" customWidth="1"/>
    <col min="12403" max="12403" width="8.28515625" customWidth="1"/>
    <col min="12404" max="12404" width="5.5703125" customWidth="1"/>
    <col min="12405" max="12405" width="8" customWidth="1"/>
    <col min="12406" max="12406" width="5.85546875" customWidth="1"/>
    <col min="12407" max="12407" width="8.85546875" customWidth="1"/>
    <col min="12408" max="12409" width="8" customWidth="1"/>
    <col min="12410" max="12410" width="5.85546875" customWidth="1"/>
    <col min="12411" max="12411" width="6.42578125" customWidth="1"/>
    <col min="12412" max="12412" width="0" hidden="1" customWidth="1"/>
    <col min="12413" max="12413" width="12.42578125" customWidth="1"/>
    <col min="12630" max="12630" width="4.5703125" customWidth="1"/>
    <col min="12631" max="12631" width="30.140625" customWidth="1"/>
    <col min="12632" max="12632" width="0" hidden="1" customWidth="1"/>
    <col min="12633" max="12633" width="8.28515625" customWidth="1"/>
    <col min="12634" max="12634" width="10.140625" customWidth="1"/>
    <col min="12635" max="12635" width="8.85546875" customWidth="1"/>
    <col min="12636" max="12637" width="0" hidden="1" customWidth="1"/>
    <col min="12638" max="12638" width="10.140625" customWidth="1"/>
    <col min="12639" max="12639" width="0" hidden="1" customWidth="1"/>
    <col min="12640" max="12640" width="7.28515625" customWidth="1"/>
    <col min="12641" max="12642" width="0" hidden="1" customWidth="1"/>
    <col min="12643" max="12643" width="12" customWidth="1"/>
    <col min="12644" max="12647" width="0" hidden="1" customWidth="1"/>
    <col min="12648" max="12648" width="10.28515625" customWidth="1"/>
    <col min="12649" max="12649" width="12.28515625" customWidth="1"/>
    <col min="12651" max="12651" width="17.140625" customWidth="1"/>
    <col min="12652" max="12652" width="6.42578125" customWidth="1"/>
    <col min="12653" max="12653" width="10" customWidth="1"/>
    <col min="12654" max="12654" width="6.28515625" customWidth="1"/>
    <col min="12655" max="12655" width="9.42578125" customWidth="1"/>
    <col min="12656" max="12656" width="5.7109375" customWidth="1"/>
    <col min="12657" max="12657" width="9" customWidth="1"/>
    <col min="12658" max="12658" width="5.7109375" customWidth="1"/>
    <col min="12659" max="12659" width="8.28515625" customWidth="1"/>
    <col min="12660" max="12660" width="5.5703125" customWidth="1"/>
    <col min="12661" max="12661" width="8" customWidth="1"/>
    <col min="12662" max="12662" width="5.85546875" customWidth="1"/>
    <col min="12663" max="12663" width="8.85546875" customWidth="1"/>
    <col min="12664" max="12665" width="8" customWidth="1"/>
    <col min="12666" max="12666" width="5.85546875" customWidth="1"/>
    <col min="12667" max="12667" width="6.42578125" customWidth="1"/>
    <col min="12668" max="12668" width="0" hidden="1" customWidth="1"/>
    <col min="12669" max="12669" width="12.42578125" customWidth="1"/>
    <col min="12886" max="12886" width="4.5703125" customWidth="1"/>
    <col min="12887" max="12887" width="30.140625" customWidth="1"/>
    <col min="12888" max="12888" width="0" hidden="1" customWidth="1"/>
    <col min="12889" max="12889" width="8.28515625" customWidth="1"/>
    <col min="12890" max="12890" width="10.140625" customWidth="1"/>
    <col min="12891" max="12891" width="8.85546875" customWidth="1"/>
    <col min="12892" max="12893" width="0" hidden="1" customWidth="1"/>
    <col min="12894" max="12894" width="10.140625" customWidth="1"/>
    <col min="12895" max="12895" width="0" hidden="1" customWidth="1"/>
    <col min="12896" max="12896" width="7.28515625" customWidth="1"/>
    <col min="12897" max="12898" width="0" hidden="1" customWidth="1"/>
    <col min="12899" max="12899" width="12" customWidth="1"/>
    <col min="12900" max="12903" width="0" hidden="1" customWidth="1"/>
    <col min="12904" max="12904" width="10.28515625" customWidth="1"/>
    <col min="12905" max="12905" width="12.28515625" customWidth="1"/>
    <col min="12907" max="12907" width="17.140625" customWidth="1"/>
    <col min="12908" max="12908" width="6.42578125" customWidth="1"/>
    <col min="12909" max="12909" width="10" customWidth="1"/>
    <col min="12910" max="12910" width="6.28515625" customWidth="1"/>
    <col min="12911" max="12911" width="9.42578125" customWidth="1"/>
    <col min="12912" max="12912" width="5.7109375" customWidth="1"/>
    <col min="12913" max="12913" width="9" customWidth="1"/>
    <col min="12914" max="12914" width="5.7109375" customWidth="1"/>
    <col min="12915" max="12915" width="8.28515625" customWidth="1"/>
    <col min="12916" max="12916" width="5.5703125" customWidth="1"/>
    <col min="12917" max="12917" width="8" customWidth="1"/>
    <col min="12918" max="12918" width="5.85546875" customWidth="1"/>
    <col min="12919" max="12919" width="8.85546875" customWidth="1"/>
    <col min="12920" max="12921" width="8" customWidth="1"/>
    <col min="12922" max="12922" width="5.85546875" customWidth="1"/>
    <col min="12923" max="12923" width="6.42578125" customWidth="1"/>
    <col min="12924" max="12924" width="0" hidden="1" customWidth="1"/>
    <col min="12925" max="12925" width="12.42578125" customWidth="1"/>
    <col min="13142" max="13142" width="4.5703125" customWidth="1"/>
    <col min="13143" max="13143" width="30.140625" customWidth="1"/>
    <col min="13144" max="13144" width="0" hidden="1" customWidth="1"/>
    <col min="13145" max="13145" width="8.28515625" customWidth="1"/>
    <col min="13146" max="13146" width="10.140625" customWidth="1"/>
    <col min="13147" max="13147" width="8.85546875" customWidth="1"/>
    <col min="13148" max="13149" width="0" hidden="1" customWidth="1"/>
    <col min="13150" max="13150" width="10.140625" customWidth="1"/>
    <col min="13151" max="13151" width="0" hidden="1" customWidth="1"/>
    <col min="13152" max="13152" width="7.28515625" customWidth="1"/>
    <col min="13153" max="13154" width="0" hidden="1" customWidth="1"/>
    <col min="13155" max="13155" width="12" customWidth="1"/>
    <col min="13156" max="13159" width="0" hidden="1" customWidth="1"/>
    <col min="13160" max="13160" width="10.28515625" customWidth="1"/>
    <col min="13161" max="13161" width="12.28515625" customWidth="1"/>
    <col min="13163" max="13163" width="17.140625" customWidth="1"/>
    <col min="13164" max="13164" width="6.42578125" customWidth="1"/>
    <col min="13165" max="13165" width="10" customWidth="1"/>
    <col min="13166" max="13166" width="6.28515625" customWidth="1"/>
    <col min="13167" max="13167" width="9.42578125" customWidth="1"/>
    <col min="13168" max="13168" width="5.7109375" customWidth="1"/>
    <col min="13169" max="13169" width="9" customWidth="1"/>
    <col min="13170" max="13170" width="5.7109375" customWidth="1"/>
    <col min="13171" max="13171" width="8.28515625" customWidth="1"/>
    <col min="13172" max="13172" width="5.5703125" customWidth="1"/>
    <col min="13173" max="13173" width="8" customWidth="1"/>
    <col min="13174" max="13174" width="5.85546875" customWidth="1"/>
    <col min="13175" max="13175" width="8.85546875" customWidth="1"/>
    <col min="13176" max="13177" width="8" customWidth="1"/>
    <col min="13178" max="13178" width="5.85546875" customWidth="1"/>
    <col min="13179" max="13179" width="6.42578125" customWidth="1"/>
    <col min="13180" max="13180" width="0" hidden="1" customWidth="1"/>
    <col min="13181" max="13181" width="12.42578125" customWidth="1"/>
    <col min="13398" max="13398" width="4.5703125" customWidth="1"/>
    <col min="13399" max="13399" width="30.140625" customWidth="1"/>
    <col min="13400" max="13400" width="0" hidden="1" customWidth="1"/>
    <col min="13401" max="13401" width="8.28515625" customWidth="1"/>
    <col min="13402" max="13402" width="10.140625" customWidth="1"/>
    <col min="13403" max="13403" width="8.85546875" customWidth="1"/>
    <col min="13404" max="13405" width="0" hidden="1" customWidth="1"/>
    <col min="13406" max="13406" width="10.140625" customWidth="1"/>
    <col min="13407" max="13407" width="0" hidden="1" customWidth="1"/>
    <col min="13408" max="13408" width="7.28515625" customWidth="1"/>
    <col min="13409" max="13410" width="0" hidden="1" customWidth="1"/>
    <col min="13411" max="13411" width="12" customWidth="1"/>
    <col min="13412" max="13415" width="0" hidden="1" customWidth="1"/>
    <col min="13416" max="13416" width="10.28515625" customWidth="1"/>
    <col min="13417" max="13417" width="12.28515625" customWidth="1"/>
    <col min="13419" max="13419" width="17.140625" customWidth="1"/>
    <col min="13420" max="13420" width="6.42578125" customWidth="1"/>
    <col min="13421" max="13421" width="10" customWidth="1"/>
    <col min="13422" max="13422" width="6.28515625" customWidth="1"/>
    <col min="13423" max="13423" width="9.42578125" customWidth="1"/>
    <col min="13424" max="13424" width="5.7109375" customWidth="1"/>
    <col min="13425" max="13425" width="9" customWidth="1"/>
    <col min="13426" max="13426" width="5.7109375" customWidth="1"/>
    <col min="13427" max="13427" width="8.28515625" customWidth="1"/>
    <col min="13428" max="13428" width="5.5703125" customWidth="1"/>
    <col min="13429" max="13429" width="8" customWidth="1"/>
    <col min="13430" max="13430" width="5.85546875" customWidth="1"/>
    <col min="13431" max="13431" width="8.85546875" customWidth="1"/>
    <col min="13432" max="13433" width="8" customWidth="1"/>
    <col min="13434" max="13434" width="5.85546875" customWidth="1"/>
    <col min="13435" max="13435" width="6.42578125" customWidth="1"/>
    <col min="13436" max="13436" width="0" hidden="1" customWidth="1"/>
    <col min="13437" max="13437" width="12.42578125" customWidth="1"/>
    <col min="13654" max="13654" width="4.5703125" customWidth="1"/>
    <col min="13655" max="13655" width="30.140625" customWidth="1"/>
    <col min="13656" max="13656" width="0" hidden="1" customWidth="1"/>
    <col min="13657" max="13657" width="8.28515625" customWidth="1"/>
    <col min="13658" max="13658" width="10.140625" customWidth="1"/>
    <col min="13659" max="13659" width="8.85546875" customWidth="1"/>
    <col min="13660" max="13661" width="0" hidden="1" customWidth="1"/>
    <col min="13662" max="13662" width="10.140625" customWidth="1"/>
    <col min="13663" max="13663" width="0" hidden="1" customWidth="1"/>
    <col min="13664" max="13664" width="7.28515625" customWidth="1"/>
    <col min="13665" max="13666" width="0" hidden="1" customWidth="1"/>
    <col min="13667" max="13667" width="12" customWidth="1"/>
    <col min="13668" max="13671" width="0" hidden="1" customWidth="1"/>
    <col min="13672" max="13672" width="10.28515625" customWidth="1"/>
    <col min="13673" max="13673" width="12.28515625" customWidth="1"/>
    <col min="13675" max="13675" width="17.140625" customWidth="1"/>
    <col min="13676" max="13676" width="6.42578125" customWidth="1"/>
    <col min="13677" max="13677" width="10" customWidth="1"/>
    <col min="13678" max="13678" width="6.28515625" customWidth="1"/>
    <col min="13679" max="13679" width="9.42578125" customWidth="1"/>
    <col min="13680" max="13680" width="5.7109375" customWidth="1"/>
    <col min="13681" max="13681" width="9" customWidth="1"/>
    <col min="13682" max="13682" width="5.7109375" customWidth="1"/>
    <col min="13683" max="13683" width="8.28515625" customWidth="1"/>
    <col min="13684" max="13684" width="5.5703125" customWidth="1"/>
    <col min="13685" max="13685" width="8" customWidth="1"/>
    <col min="13686" max="13686" width="5.85546875" customWidth="1"/>
    <col min="13687" max="13687" width="8.85546875" customWidth="1"/>
    <col min="13688" max="13689" width="8" customWidth="1"/>
    <col min="13690" max="13690" width="5.85546875" customWidth="1"/>
    <col min="13691" max="13691" width="6.42578125" customWidth="1"/>
    <col min="13692" max="13692" width="0" hidden="1" customWidth="1"/>
    <col min="13693" max="13693" width="12.42578125" customWidth="1"/>
    <col min="13910" max="13910" width="4.5703125" customWidth="1"/>
    <col min="13911" max="13911" width="30.140625" customWidth="1"/>
    <col min="13912" max="13912" width="0" hidden="1" customWidth="1"/>
    <col min="13913" max="13913" width="8.28515625" customWidth="1"/>
    <col min="13914" max="13914" width="10.140625" customWidth="1"/>
    <col min="13915" max="13915" width="8.85546875" customWidth="1"/>
    <col min="13916" max="13917" width="0" hidden="1" customWidth="1"/>
    <col min="13918" max="13918" width="10.140625" customWidth="1"/>
    <col min="13919" max="13919" width="0" hidden="1" customWidth="1"/>
    <col min="13920" max="13920" width="7.28515625" customWidth="1"/>
    <col min="13921" max="13922" width="0" hidden="1" customWidth="1"/>
    <col min="13923" max="13923" width="12" customWidth="1"/>
    <col min="13924" max="13927" width="0" hidden="1" customWidth="1"/>
    <col min="13928" max="13928" width="10.28515625" customWidth="1"/>
    <col min="13929" max="13929" width="12.28515625" customWidth="1"/>
    <col min="13931" max="13931" width="17.140625" customWidth="1"/>
    <col min="13932" max="13932" width="6.42578125" customWidth="1"/>
    <col min="13933" max="13933" width="10" customWidth="1"/>
    <col min="13934" max="13934" width="6.28515625" customWidth="1"/>
    <col min="13935" max="13935" width="9.42578125" customWidth="1"/>
    <col min="13936" max="13936" width="5.7109375" customWidth="1"/>
    <col min="13937" max="13937" width="9" customWidth="1"/>
    <col min="13938" max="13938" width="5.7109375" customWidth="1"/>
    <col min="13939" max="13939" width="8.28515625" customWidth="1"/>
    <col min="13940" max="13940" width="5.5703125" customWidth="1"/>
    <col min="13941" max="13941" width="8" customWidth="1"/>
    <col min="13942" max="13942" width="5.85546875" customWidth="1"/>
    <col min="13943" max="13943" width="8.85546875" customWidth="1"/>
    <col min="13944" max="13945" width="8" customWidth="1"/>
    <col min="13946" max="13946" width="5.85546875" customWidth="1"/>
    <col min="13947" max="13947" width="6.42578125" customWidth="1"/>
    <col min="13948" max="13948" width="0" hidden="1" customWidth="1"/>
    <col min="13949" max="13949" width="12.42578125" customWidth="1"/>
    <col min="14166" max="14166" width="4.5703125" customWidth="1"/>
    <col min="14167" max="14167" width="30.140625" customWidth="1"/>
    <col min="14168" max="14168" width="0" hidden="1" customWidth="1"/>
    <col min="14169" max="14169" width="8.28515625" customWidth="1"/>
    <col min="14170" max="14170" width="10.140625" customWidth="1"/>
    <col min="14171" max="14171" width="8.85546875" customWidth="1"/>
    <col min="14172" max="14173" width="0" hidden="1" customWidth="1"/>
    <col min="14174" max="14174" width="10.140625" customWidth="1"/>
    <col min="14175" max="14175" width="0" hidden="1" customWidth="1"/>
    <col min="14176" max="14176" width="7.28515625" customWidth="1"/>
    <col min="14177" max="14178" width="0" hidden="1" customWidth="1"/>
    <col min="14179" max="14179" width="12" customWidth="1"/>
    <col min="14180" max="14183" width="0" hidden="1" customWidth="1"/>
    <col min="14184" max="14184" width="10.28515625" customWidth="1"/>
    <col min="14185" max="14185" width="12.28515625" customWidth="1"/>
    <col min="14187" max="14187" width="17.140625" customWidth="1"/>
    <col min="14188" max="14188" width="6.42578125" customWidth="1"/>
    <col min="14189" max="14189" width="10" customWidth="1"/>
    <col min="14190" max="14190" width="6.28515625" customWidth="1"/>
    <col min="14191" max="14191" width="9.42578125" customWidth="1"/>
    <col min="14192" max="14192" width="5.7109375" customWidth="1"/>
    <col min="14193" max="14193" width="9" customWidth="1"/>
    <col min="14194" max="14194" width="5.7109375" customWidth="1"/>
    <col min="14195" max="14195" width="8.28515625" customWidth="1"/>
    <col min="14196" max="14196" width="5.5703125" customWidth="1"/>
    <col min="14197" max="14197" width="8" customWidth="1"/>
    <col min="14198" max="14198" width="5.85546875" customWidth="1"/>
    <col min="14199" max="14199" width="8.85546875" customWidth="1"/>
    <col min="14200" max="14201" width="8" customWidth="1"/>
    <col min="14202" max="14202" width="5.85546875" customWidth="1"/>
    <col min="14203" max="14203" width="6.42578125" customWidth="1"/>
    <col min="14204" max="14204" width="0" hidden="1" customWidth="1"/>
    <col min="14205" max="14205" width="12.42578125" customWidth="1"/>
    <col min="14422" max="14422" width="4.5703125" customWidth="1"/>
    <col min="14423" max="14423" width="30.140625" customWidth="1"/>
    <col min="14424" max="14424" width="0" hidden="1" customWidth="1"/>
    <col min="14425" max="14425" width="8.28515625" customWidth="1"/>
    <col min="14426" max="14426" width="10.140625" customWidth="1"/>
    <col min="14427" max="14427" width="8.85546875" customWidth="1"/>
    <col min="14428" max="14429" width="0" hidden="1" customWidth="1"/>
    <col min="14430" max="14430" width="10.140625" customWidth="1"/>
    <col min="14431" max="14431" width="0" hidden="1" customWidth="1"/>
    <col min="14432" max="14432" width="7.28515625" customWidth="1"/>
    <col min="14433" max="14434" width="0" hidden="1" customWidth="1"/>
    <col min="14435" max="14435" width="12" customWidth="1"/>
    <col min="14436" max="14439" width="0" hidden="1" customWidth="1"/>
    <col min="14440" max="14440" width="10.28515625" customWidth="1"/>
    <col min="14441" max="14441" width="12.28515625" customWidth="1"/>
    <col min="14443" max="14443" width="17.140625" customWidth="1"/>
    <col min="14444" max="14444" width="6.42578125" customWidth="1"/>
    <col min="14445" max="14445" width="10" customWidth="1"/>
    <col min="14446" max="14446" width="6.28515625" customWidth="1"/>
    <col min="14447" max="14447" width="9.42578125" customWidth="1"/>
    <col min="14448" max="14448" width="5.7109375" customWidth="1"/>
    <col min="14449" max="14449" width="9" customWidth="1"/>
    <col min="14450" max="14450" width="5.7109375" customWidth="1"/>
    <col min="14451" max="14451" width="8.28515625" customWidth="1"/>
    <col min="14452" max="14452" width="5.5703125" customWidth="1"/>
    <col min="14453" max="14453" width="8" customWidth="1"/>
    <col min="14454" max="14454" width="5.85546875" customWidth="1"/>
    <col min="14455" max="14455" width="8.85546875" customWidth="1"/>
    <col min="14456" max="14457" width="8" customWidth="1"/>
    <col min="14458" max="14458" width="5.85546875" customWidth="1"/>
    <col min="14459" max="14459" width="6.42578125" customWidth="1"/>
    <col min="14460" max="14460" width="0" hidden="1" customWidth="1"/>
    <col min="14461" max="14461" width="12.42578125" customWidth="1"/>
    <col min="14678" max="14678" width="4.5703125" customWidth="1"/>
    <col min="14679" max="14679" width="30.140625" customWidth="1"/>
    <col min="14680" max="14680" width="0" hidden="1" customWidth="1"/>
    <col min="14681" max="14681" width="8.28515625" customWidth="1"/>
    <col min="14682" max="14682" width="10.140625" customWidth="1"/>
    <col min="14683" max="14683" width="8.85546875" customWidth="1"/>
    <col min="14684" max="14685" width="0" hidden="1" customWidth="1"/>
    <col min="14686" max="14686" width="10.140625" customWidth="1"/>
    <col min="14687" max="14687" width="0" hidden="1" customWidth="1"/>
    <col min="14688" max="14688" width="7.28515625" customWidth="1"/>
    <col min="14689" max="14690" width="0" hidden="1" customWidth="1"/>
    <col min="14691" max="14691" width="12" customWidth="1"/>
    <col min="14692" max="14695" width="0" hidden="1" customWidth="1"/>
    <col min="14696" max="14696" width="10.28515625" customWidth="1"/>
    <col min="14697" max="14697" width="12.28515625" customWidth="1"/>
    <col min="14699" max="14699" width="17.140625" customWidth="1"/>
    <col min="14700" max="14700" width="6.42578125" customWidth="1"/>
    <col min="14701" max="14701" width="10" customWidth="1"/>
    <col min="14702" max="14702" width="6.28515625" customWidth="1"/>
    <col min="14703" max="14703" width="9.42578125" customWidth="1"/>
    <col min="14704" max="14704" width="5.7109375" customWidth="1"/>
    <col min="14705" max="14705" width="9" customWidth="1"/>
    <col min="14706" max="14706" width="5.7109375" customWidth="1"/>
    <col min="14707" max="14707" width="8.28515625" customWidth="1"/>
    <col min="14708" max="14708" width="5.5703125" customWidth="1"/>
    <col min="14709" max="14709" width="8" customWidth="1"/>
    <col min="14710" max="14710" width="5.85546875" customWidth="1"/>
    <col min="14711" max="14711" width="8.85546875" customWidth="1"/>
    <col min="14712" max="14713" width="8" customWidth="1"/>
    <col min="14714" max="14714" width="5.85546875" customWidth="1"/>
    <col min="14715" max="14715" width="6.42578125" customWidth="1"/>
    <col min="14716" max="14716" width="0" hidden="1" customWidth="1"/>
    <col min="14717" max="14717" width="12.42578125" customWidth="1"/>
    <col min="14934" max="14934" width="4.5703125" customWidth="1"/>
    <col min="14935" max="14935" width="30.140625" customWidth="1"/>
    <col min="14936" max="14936" width="0" hidden="1" customWidth="1"/>
    <col min="14937" max="14937" width="8.28515625" customWidth="1"/>
    <col min="14938" max="14938" width="10.140625" customWidth="1"/>
    <col min="14939" max="14939" width="8.85546875" customWidth="1"/>
    <col min="14940" max="14941" width="0" hidden="1" customWidth="1"/>
    <col min="14942" max="14942" width="10.140625" customWidth="1"/>
    <col min="14943" max="14943" width="0" hidden="1" customWidth="1"/>
    <col min="14944" max="14944" width="7.28515625" customWidth="1"/>
    <col min="14945" max="14946" width="0" hidden="1" customWidth="1"/>
    <col min="14947" max="14947" width="12" customWidth="1"/>
    <col min="14948" max="14951" width="0" hidden="1" customWidth="1"/>
    <col min="14952" max="14952" width="10.28515625" customWidth="1"/>
    <col min="14953" max="14953" width="12.28515625" customWidth="1"/>
    <col min="14955" max="14955" width="17.140625" customWidth="1"/>
    <col min="14956" max="14956" width="6.42578125" customWidth="1"/>
    <col min="14957" max="14957" width="10" customWidth="1"/>
    <col min="14958" max="14958" width="6.28515625" customWidth="1"/>
    <col min="14959" max="14959" width="9.42578125" customWidth="1"/>
    <col min="14960" max="14960" width="5.7109375" customWidth="1"/>
    <col min="14961" max="14961" width="9" customWidth="1"/>
    <col min="14962" max="14962" width="5.7109375" customWidth="1"/>
    <col min="14963" max="14963" width="8.28515625" customWidth="1"/>
    <col min="14964" max="14964" width="5.5703125" customWidth="1"/>
    <col min="14965" max="14965" width="8" customWidth="1"/>
    <col min="14966" max="14966" width="5.85546875" customWidth="1"/>
    <col min="14967" max="14967" width="8.85546875" customWidth="1"/>
    <col min="14968" max="14969" width="8" customWidth="1"/>
    <col min="14970" max="14970" width="5.85546875" customWidth="1"/>
    <col min="14971" max="14971" width="6.42578125" customWidth="1"/>
    <col min="14972" max="14972" width="0" hidden="1" customWidth="1"/>
    <col min="14973" max="14973" width="12.42578125" customWidth="1"/>
    <col min="15190" max="15190" width="4.5703125" customWidth="1"/>
    <col min="15191" max="15191" width="30.140625" customWidth="1"/>
    <col min="15192" max="15192" width="0" hidden="1" customWidth="1"/>
    <col min="15193" max="15193" width="8.28515625" customWidth="1"/>
    <col min="15194" max="15194" width="10.140625" customWidth="1"/>
    <col min="15195" max="15195" width="8.85546875" customWidth="1"/>
    <col min="15196" max="15197" width="0" hidden="1" customWidth="1"/>
    <col min="15198" max="15198" width="10.140625" customWidth="1"/>
    <col min="15199" max="15199" width="0" hidden="1" customWidth="1"/>
    <col min="15200" max="15200" width="7.28515625" customWidth="1"/>
    <col min="15201" max="15202" width="0" hidden="1" customWidth="1"/>
    <col min="15203" max="15203" width="12" customWidth="1"/>
    <col min="15204" max="15207" width="0" hidden="1" customWidth="1"/>
    <col min="15208" max="15208" width="10.28515625" customWidth="1"/>
    <col min="15209" max="15209" width="12.28515625" customWidth="1"/>
    <col min="15211" max="15211" width="17.140625" customWidth="1"/>
    <col min="15212" max="15212" width="6.42578125" customWidth="1"/>
    <col min="15213" max="15213" width="10" customWidth="1"/>
    <col min="15214" max="15214" width="6.28515625" customWidth="1"/>
    <col min="15215" max="15215" width="9.42578125" customWidth="1"/>
    <col min="15216" max="15216" width="5.7109375" customWidth="1"/>
    <col min="15217" max="15217" width="9" customWidth="1"/>
    <col min="15218" max="15218" width="5.7109375" customWidth="1"/>
    <col min="15219" max="15219" width="8.28515625" customWidth="1"/>
    <col min="15220" max="15220" width="5.5703125" customWidth="1"/>
    <col min="15221" max="15221" width="8" customWidth="1"/>
    <col min="15222" max="15222" width="5.85546875" customWidth="1"/>
    <col min="15223" max="15223" width="8.85546875" customWidth="1"/>
    <col min="15224" max="15225" width="8" customWidth="1"/>
    <col min="15226" max="15226" width="5.85546875" customWidth="1"/>
    <col min="15227" max="15227" width="6.42578125" customWidth="1"/>
    <col min="15228" max="15228" width="0" hidden="1" customWidth="1"/>
    <col min="15229" max="15229" width="12.42578125" customWidth="1"/>
    <col min="15446" max="15446" width="4.5703125" customWidth="1"/>
    <col min="15447" max="15447" width="30.140625" customWidth="1"/>
    <col min="15448" max="15448" width="0" hidden="1" customWidth="1"/>
    <col min="15449" max="15449" width="8.28515625" customWidth="1"/>
    <col min="15450" max="15450" width="10.140625" customWidth="1"/>
    <col min="15451" max="15451" width="8.85546875" customWidth="1"/>
    <col min="15452" max="15453" width="0" hidden="1" customWidth="1"/>
    <col min="15454" max="15454" width="10.140625" customWidth="1"/>
    <col min="15455" max="15455" width="0" hidden="1" customWidth="1"/>
    <col min="15456" max="15456" width="7.28515625" customWidth="1"/>
    <col min="15457" max="15458" width="0" hidden="1" customWidth="1"/>
    <col min="15459" max="15459" width="12" customWidth="1"/>
    <col min="15460" max="15463" width="0" hidden="1" customWidth="1"/>
    <col min="15464" max="15464" width="10.28515625" customWidth="1"/>
    <col min="15465" max="15465" width="12.28515625" customWidth="1"/>
    <col min="15467" max="15467" width="17.140625" customWidth="1"/>
    <col min="15468" max="15468" width="6.42578125" customWidth="1"/>
    <col min="15469" max="15469" width="10" customWidth="1"/>
    <col min="15470" max="15470" width="6.28515625" customWidth="1"/>
    <col min="15471" max="15471" width="9.42578125" customWidth="1"/>
    <col min="15472" max="15472" width="5.7109375" customWidth="1"/>
    <col min="15473" max="15473" width="9" customWidth="1"/>
    <col min="15474" max="15474" width="5.7109375" customWidth="1"/>
    <col min="15475" max="15475" width="8.28515625" customWidth="1"/>
    <col min="15476" max="15476" width="5.5703125" customWidth="1"/>
    <col min="15477" max="15477" width="8" customWidth="1"/>
    <col min="15478" max="15478" width="5.85546875" customWidth="1"/>
    <col min="15479" max="15479" width="8.85546875" customWidth="1"/>
    <col min="15480" max="15481" width="8" customWidth="1"/>
    <col min="15482" max="15482" width="5.85546875" customWidth="1"/>
    <col min="15483" max="15483" width="6.42578125" customWidth="1"/>
    <col min="15484" max="15484" width="0" hidden="1" customWidth="1"/>
    <col min="15485" max="15485" width="12.42578125" customWidth="1"/>
    <col min="15702" max="15702" width="4.5703125" customWidth="1"/>
    <col min="15703" max="15703" width="30.140625" customWidth="1"/>
    <col min="15704" max="15704" width="0" hidden="1" customWidth="1"/>
    <col min="15705" max="15705" width="8.28515625" customWidth="1"/>
    <col min="15706" max="15706" width="10.140625" customWidth="1"/>
    <col min="15707" max="15707" width="8.85546875" customWidth="1"/>
    <col min="15708" max="15709" width="0" hidden="1" customWidth="1"/>
    <col min="15710" max="15710" width="10.140625" customWidth="1"/>
    <col min="15711" max="15711" width="0" hidden="1" customWidth="1"/>
    <col min="15712" max="15712" width="7.28515625" customWidth="1"/>
    <col min="15713" max="15714" width="0" hidden="1" customWidth="1"/>
    <col min="15715" max="15715" width="12" customWidth="1"/>
    <col min="15716" max="15719" width="0" hidden="1" customWidth="1"/>
    <col min="15720" max="15720" width="10.28515625" customWidth="1"/>
    <col min="15721" max="15721" width="12.28515625" customWidth="1"/>
    <col min="15723" max="15723" width="17.140625" customWidth="1"/>
    <col min="15724" max="15724" width="6.42578125" customWidth="1"/>
    <col min="15725" max="15725" width="10" customWidth="1"/>
    <col min="15726" max="15726" width="6.28515625" customWidth="1"/>
    <col min="15727" max="15727" width="9.42578125" customWidth="1"/>
    <col min="15728" max="15728" width="5.7109375" customWidth="1"/>
    <col min="15729" max="15729" width="9" customWidth="1"/>
    <col min="15730" max="15730" width="5.7109375" customWidth="1"/>
    <col min="15731" max="15731" width="8.28515625" customWidth="1"/>
    <col min="15732" max="15732" width="5.5703125" customWidth="1"/>
    <col min="15733" max="15733" width="8" customWidth="1"/>
    <col min="15734" max="15734" width="5.85546875" customWidth="1"/>
    <col min="15735" max="15735" width="8.85546875" customWidth="1"/>
    <col min="15736" max="15737" width="8" customWidth="1"/>
    <col min="15738" max="15738" width="5.85546875" customWidth="1"/>
    <col min="15739" max="15739" width="6.42578125" customWidth="1"/>
    <col min="15740" max="15740" width="0" hidden="1" customWidth="1"/>
    <col min="15741" max="15741" width="12.42578125" customWidth="1"/>
    <col min="15958" max="15958" width="4.5703125" customWidth="1"/>
    <col min="15959" max="15959" width="30.140625" customWidth="1"/>
    <col min="15960" max="15960" width="0" hidden="1" customWidth="1"/>
    <col min="15961" max="15961" width="8.28515625" customWidth="1"/>
    <col min="15962" max="15962" width="10.140625" customWidth="1"/>
    <col min="15963" max="15963" width="8.85546875" customWidth="1"/>
    <col min="15964" max="15965" width="0" hidden="1" customWidth="1"/>
    <col min="15966" max="15966" width="10.140625" customWidth="1"/>
    <col min="15967" max="15967" width="0" hidden="1" customWidth="1"/>
    <col min="15968" max="15968" width="7.28515625" customWidth="1"/>
    <col min="15969" max="15970" width="0" hidden="1" customWidth="1"/>
    <col min="15971" max="15971" width="12" customWidth="1"/>
    <col min="15972" max="15975" width="0" hidden="1" customWidth="1"/>
    <col min="15976" max="15976" width="10.28515625" customWidth="1"/>
    <col min="15977" max="15977" width="12.28515625" customWidth="1"/>
    <col min="15979" max="15979" width="17.140625" customWidth="1"/>
    <col min="15980" max="15980" width="6.42578125" customWidth="1"/>
    <col min="15981" max="15981" width="10" customWidth="1"/>
    <col min="15982" max="15982" width="6.28515625" customWidth="1"/>
    <col min="15983" max="15983" width="9.42578125" customWidth="1"/>
    <col min="15984" max="15984" width="5.7109375" customWidth="1"/>
    <col min="15985" max="15985" width="9" customWidth="1"/>
    <col min="15986" max="15986" width="5.7109375" customWidth="1"/>
    <col min="15987" max="15987" width="8.28515625" customWidth="1"/>
    <col min="15988" max="15988" width="5.5703125" customWidth="1"/>
    <col min="15989" max="15989" width="8" customWidth="1"/>
    <col min="15990" max="15990" width="5.85546875" customWidth="1"/>
    <col min="15991" max="15991" width="8.85546875" customWidth="1"/>
    <col min="15992" max="15993" width="8" customWidth="1"/>
    <col min="15994" max="15994" width="5.85546875" customWidth="1"/>
    <col min="15995" max="15995" width="6.42578125" customWidth="1"/>
    <col min="15996" max="15996" width="0" hidden="1" customWidth="1"/>
    <col min="15997" max="15997" width="12.42578125" customWidth="1"/>
  </cols>
  <sheetData>
    <row r="2" spans="1:21" s="62" customFormat="1" ht="20.25">
      <c r="A2" s="97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0.25">
      <c r="A3" s="96" t="s">
        <v>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8">
      <c r="C4" s="61"/>
      <c r="D4" s="61"/>
      <c r="E4" s="61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0</v>
      </c>
      <c r="Q4" s="3"/>
      <c r="R4" s="5"/>
      <c r="S4" s="6"/>
    </row>
    <row r="5" spans="1:21" s="1" customFormat="1" ht="15.75">
      <c r="A5" s="2"/>
      <c r="D5"/>
      <c r="E5"/>
      <c r="Q5" s="61" t="s">
        <v>0</v>
      </c>
      <c r="R5" s="61"/>
      <c r="T5" s="60" t="s">
        <v>0</v>
      </c>
      <c r="U5" s="60"/>
    </row>
    <row r="6" spans="1:21">
      <c r="A6" s="1" t="s">
        <v>209</v>
      </c>
      <c r="C6" s="1"/>
      <c r="F6"/>
      <c r="G6"/>
      <c r="H6"/>
      <c r="I6"/>
      <c r="J6"/>
      <c r="P6" s="1" t="s">
        <v>1</v>
      </c>
      <c r="Q6" s="1"/>
      <c r="R6" s="1"/>
      <c r="S6" s="1"/>
    </row>
    <row r="7" spans="1:21" ht="36" customHeight="1">
      <c r="A7" s="93" t="s">
        <v>208</v>
      </c>
      <c r="B7" s="102" t="s">
        <v>4</v>
      </c>
      <c r="C7" s="106" t="s">
        <v>2</v>
      </c>
      <c r="D7" s="106"/>
      <c r="E7" s="106"/>
      <c r="F7" s="106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7" t="s">
        <v>3</v>
      </c>
      <c r="S7" s="8"/>
      <c r="T7" s="121" t="s">
        <v>80</v>
      </c>
      <c r="U7" s="121"/>
    </row>
    <row r="8" spans="1:21" ht="15" customHeight="1">
      <c r="A8" s="94"/>
      <c r="B8" s="103"/>
      <c r="C8" s="109" t="s">
        <v>5</v>
      </c>
      <c r="D8" s="110"/>
      <c r="E8" s="115" t="s">
        <v>6</v>
      </c>
      <c r="F8" s="116"/>
      <c r="G8" s="10" t="s">
        <v>7</v>
      </c>
      <c r="H8" s="11" t="s">
        <v>8</v>
      </c>
      <c r="I8" s="12" t="s">
        <v>205</v>
      </c>
      <c r="J8" s="11" t="s">
        <v>206</v>
      </c>
      <c r="K8" s="11" t="s">
        <v>11</v>
      </c>
      <c r="L8" s="11" t="s">
        <v>207</v>
      </c>
      <c r="M8" s="11" t="s">
        <v>13</v>
      </c>
      <c r="N8" s="11" t="s">
        <v>14</v>
      </c>
      <c r="O8" s="13" t="s">
        <v>15</v>
      </c>
      <c r="P8" s="11" t="s">
        <v>16</v>
      </c>
      <c r="Q8" s="13" t="s">
        <v>17</v>
      </c>
      <c r="R8" s="9" t="s">
        <v>18</v>
      </c>
      <c r="S8" s="14" t="s">
        <v>19</v>
      </c>
      <c r="T8" s="7" t="s">
        <v>81</v>
      </c>
      <c r="U8" s="7" t="s">
        <v>82</v>
      </c>
    </row>
    <row r="9" spans="1:21" ht="15" customHeight="1">
      <c r="A9" s="65">
        <v>1</v>
      </c>
      <c r="B9" s="74" t="s">
        <v>223</v>
      </c>
      <c r="C9" s="76">
        <v>0.43494204597701142</v>
      </c>
      <c r="D9" s="75">
        <v>365.3513186206896</v>
      </c>
      <c r="E9" s="75">
        <v>36.535131862068958</v>
      </c>
      <c r="F9" s="75">
        <v>36.535131862068958</v>
      </c>
      <c r="G9" s="75">
        <v>438.42158234482753</v>
      </c>
      <c r="H9" s="75">
        <v>8.0669571151448256</v>
      </c>
      <c r="I9" s="75"/>
      <c r="J9" s="75">
        <v>3.1402815719540222</v>
      </c>
      <c r="K9" s="75">
        <v>70.87815581241378</v>
      </c>
      <c r="L9" s="75">
        <v>520.5069768443401</v>
      </c>
      <c r="M9" s="75">
        <v>20.820279073773605</v>
      </c>
      <c r="N9" s="75">
        <v>541.32725591811368</v>
      </c>
      <c r="O9" s="75">
        <v>2983.6</v>
      </c>
      <c r="P9" s="75">
        <v>0.18143425925664086</v>
      </c>
      <c r="Q9" s="75">
        <v>0.18099999999999999</v>
      </c>
      <c r="R9" s="25"/>
      <c r="S9" s="27"/>
      <c r="T9" s="25">
        <v>0.18099999999999999</v>
      </c>
      <c r="U9" s="27">
        <f t="shared" ref="U9:U11" si="0">T9*1.21</f>
        <v>0.21900999999999998</v>
      </c>
    </row>
    <row r="10" spans="1:21" ht="15" customHeight="1">
      <c r="A10" s="65">
        <v>2</v>
      </c>
      <c r="B10" s="26" t="s">
        <v>224</v>
      </c>
      <c r="C10" s="77">
        <v>0.14971604597701152</v>
      </c>
      <c r="D10" s="26">
        <v>125.76147862068967</v>
      </c>
      <c r="E10" s="26">
        <v>12.576147862068968</v>
      </c>
      <c r="F10" s="26">
        <v>12.576147862068968</v>
      </c>
      <c r="G10" s="26">
        <v>150.91377434482763</v>
      </c>
      <c r="H10" s="26">
        <v>2.7768134479448285</v>
      </c>
      <c r="I10" s="26"/>
      <c r="J10" s="26">
        <v>1.080949851954023</v>
      </c>
      <c r="K10" s="26">
        <v>24.397726852413797</v>
      </c>
      <c r="L10" s="26">
        <v>179.16926449714026</v>
      </c>
      <c r="M10" s="26">
        <v>7.1667705798856103</v>
      </c>
      <c r="N10" s="26">
        <v>186.33603507702588</v>
      </c>
      <c r="O10" s="26">
        <v>2334.7800000000002</v>
      </c>
      <c r="P10" s="26">
        <v>7.9808819279343607E-2</v>
      </c>
      <c r="Q10" s="26">
        <v>0.08</v>
      </c>
      <c r="R10" s="25"/>
      <c r="S10" s="27"/>
      <c r="T10" s="27">
        <v>0.08</v>
      </c>
      <c r="U10" s="27">
        <f t="shared" si="0"/>
        <v>9.6799999999999997E-2</v>
      </c>
    </row>
    <row r="11" spans="1:21" ht="15" customHeight="1">
      <c r="A11" s="65">
        <v>3</v>
      </c>
      <c r="B11" s="26" t="s">
        <v>225</v>
      </c>
      <c r="C11" s="77">
        <v>0.16486137931034484</v>
      </c>
      <c r="D11" s="26">
        <v>138.48355862068965</v>
      </c>
      <c r="E11" s="26">
        <v>13.848355862068965</v>
      </c>
      <c r="F11" s="26">
        <v>13.848355862068965</v>
      </c>
      <c r="G11" s="26">
        <v>166.18027034482756</v>
      </c>
      <c r="H11" s="26">
        <v>3.0577169743448271</v>
      </c>
      <c r="I11" s="26"/>
      <c r="J11" s="26">
        <v>1.1902991586206897</v>
      </c>
      <c r="K11" s="26">
        <v>26.865810372413794</v>
      </c>
      <c r="L11" s="26">
        <v>197.29409685020687</v>
      </c>
      <c r="M11" s="26">
        <v>7.8917638740082747</v>
      </c>
      <c r="N11" s="26">
        <v>205.18586072421513</v>
      </c>
      <c r="O11" s="26">
        <v>1032.8</v>
      </c>
      <c r="P11" s="26">
        <v>0.19866950108851195</v>
      </c>
      <c r="Q11" s="26">
        <v>0.19900000000000001</v>
      </c>
      <c r="R11" s="25"/>
      <c r="S11" s="27"/>
      <c r="T11" s="27">
        <v>0.19900000000000001</v>
      </c>
      <c r="U11" s="27">
        <f t="shared" si="0"/>
        <v>0.24079</v>
      </c>
    </row>
    <row r="12" spans="1:21" ht="15" customHeight="1">
      <c r="A12" s="65">
        <v>4</v>
      </c>
      <c r="B12" s="26" t="s">
        <v>86</v>
      </c>
      <c r="C12" s="78">
        <f>34.05+11.4</f>
        <v>45.449999999999996</v>
      </c>
      <c r="D12" s="27">
        <f>C12/7500</f>
        <v>6.0599999999999994E-3</v>
      </c>
      <c r="E12" s="25">
        <f>208.02+69.37</f>
        <v>277.39</v>
      </c>
      <c r="F12" s="27">
        <f t="shared" ref="F12:F101" si="1">E12/1800</f>
        <v>0.15410555555555555</v>
      </c>
      <c r="G12" s="27">
        <f t="shared" ref="G12:G87" si="2">D12+F12</f>
        <v>0.16016555555555556</v>
      </c>
      <c r="H12" s="27">
        <f>G12*840</f>
        <v>134.53906666666668</v>
      </c>
      <c r="I12" s="27">
        <f>H12*0.1</f>
        <v>13.453906666666668</v>
      </c>
      <c r="J12" s="27">
        <f>H12*0.1</f>
        <v>13.453906666666668</v>
      </c>
      <c r="K12" s="27">
        <f>SUM(H12:J12)</f>
        <v>161.44688000000002</v>
      </c>
      <c r="L12" s="27">
        <f>K12*0.0184</f>
        <v>2.9706225920000002</v>
      </c>
      <c r="M12" s="27">
        <f>G12*7.22</f>
        <v>1.1563953111111112</v>
      </c>
      <c r="N12" s="27">
        <f>H12*0.194</f>
        <v>26.100578933333338</v>
      </c>
      <c r="O12" s="27">
        <f>SUM(K12:N12)</f>
        <v>191.67447683644448</v>
      </c>
      <c r="P12" s="27">
        <f>O12*0.04</f>
        <v>7.6669790734577798</v>
      </c>
      <c r="Q12" s="28">
        <f>SUM(O12:P12)</f>
        <v>199.34145590990227</v>
      </c>
      <c r="R12" s="36">
        <v>2670.32</v>
      </c>
      <c r="S12" s="27">
        <f>Q12/R12</f>
        <v>7.465077440527812E-2</v>
      </c>
      <c r="T12" s="27">
        <f>ROUND(S12,3)</f>
        <v>7.4999999999999997E-2</v>
      </c>
      <c r="U12" s="27">
        <f>T12*1.21</f>
        <v>9.0749999999999997E-2</v>
      </c>
    </row>
    <row r="13" spans="1:21" ht="15" customHeight="1">
      <c r="A13" s="65">
        <v>5</v>
      </c>
      <c r="B13" s="26" t="s">
        <v>87</v>
      </c>
      <c r="C13" s="78">
        <v>34.71</v>
      </c>
      <c r="D13" s="27">
        <f t="shared" ref="D13:D113" si="3">C13/7500</f>
        <v>4.6280000000000002E-3</v>
      </c>
      <c r="E13" s="25">
        <v>259.77</v>
      </c>
      <c r="F13" s="27">
        <f t="shared" si="1"/>
        <v>0.14431666666666665</v>
      </c>
      <c r="G13" s="27">
        <f t="shared" si="2"/>
        <v>0.14894466666666664</v>
      </c>
      <c r="H13" s="27">
        <f t="shared" ref="H13:H80" si="4">G13*840</f>
        <v>125.11351999999998</v>
      </c>
      <c r="I13" s="27">
        <f t="shared" ref="I13:I88" si="5">H13*0.1</f>
        <v>12.511351999999999</v>
      </c>
      <c r="J13" s="27">
        <f t="shared" ref="J13:J88" si="6">H13*0.1</f>
        <v>12.511351999999999</v>
      </c>
      <c r="K13" s="27">
        <f t="shared" ref="K13:K88" si="7">SUM(H13:J13)</f>
        <v>150.13622399999997</v>
      </c>
      <c r="L13" s="27">
        <f t="shared" ref="L13:L88" si="8">K13*0.0184</f>
        <v>2.7625065215999993</v>
      </c>
      <c r="M13" s="27">
        <f t="shared" ref="M13:M88" si="9">G13*7.22</f>
        <v>1.0753804933333331</v>
      </c>
      <c r="N13" s="27">
        <f t="shared" ref="N13:N88" si="10">H13*0.194</f>
        <v>24.272022879999998</v>
      </c>
      <c r="O13" s="27">
        <f t="shared" ref="O13:O88" si="11">SUM(K13:N13)</f>
        <v>178.24613389493331</v>
      </c>
      <c r="P13" s="27">
        <f t="shared" ref="P13:P88" si="12">O13*0.04</f>
        <v>7.1298453557973325</v>
      </c>
      <c r="Q13" s="28">
        <f t="shared" ref="Q13:Q88" si="13">SUM(O13:P13)</f>
        <v>185.37597925073064</v>
      </c>
      <c r="R13" s="30">
        <v>2702.62</v>
      </c>
      <c r="S13" s="27">
        <f t="shared" ref="S13:S88" si="14">Q13/R13</f>
        <v>6.8591211213833478E-2</v>
      </c>
      <c r="T13" s="27">
        <f t="shared" ref="T13:T80" si="15">ROUND(S13,3)</f>
        <v>6.9000000000000006E-2</v>
      </c>
      <c r="U13" s="27">
        <f t="shared" ref="U13:U80" si="16">T13*1.21</f>
        <v>8.3490000000000009E-2</v>
      </c>
    </row>
    <row r="14" spans="1:21">
      <c r="A14" s="65">
        <v>6</v>
      </c>
      <c r="B14" s="26" t="s">
        <v>230</v>
      </c>
      <c r="C14" s="78">
        <f>84.49-8.6</f>
        <v>75.89</v>
      </c>
      <c r="D14" s="27">
        <f t="shared" si="3"/>
        <v>1.0118666666666666E-2</v>
      </c>
      <c r="E14" s="25">
        <f>528.37-56.53</f>
        <v>471.84000000000003</v>
      </c>
      <c r="F14" s="27">
        <f t="shared" si="1"/>
        <v>0.26213333333333333</v>
      </c>
      <c r="G14" s="27">
        <f t="shared" si="2"/>
        <v>0.27225199999999999</v>
      </c>
      <c r="H14" s="27">
        <f t="shared" si="4"/>
        <v>228.69167999999999</v>
      </c>
      <c r="I14" s="27">
        <f t="shared" si="5"/>
        <v>22.869168000000002</v>
      </c>
      <c r="J14" s="27">
        <f t="shared" si="6"/>
        <v>22.869168000000002</v>
      </c>
      <c r="K14" s="27">
        <f t="shared" si="7"/>
        <v>274.43001600000002</v>
      </c>
      <c r="L14" s="27">
        <f t="shared" si="8"/>
        <v>5.0495122944000004</v>
      </c>
      <c r="M14" s="27">
        <f t="shared" si="9"/>
        <v>1.9656594399999998</v>
      </c>
      <c r="N14" s="27">
        <f t="shared" si="10"/>
        <v>44.366185919999999</v>
      </c>
      <c r="O14" s="27">
        <f t="shared" si="11"/>
        <v>325.81137365440009</v>
      </c>
      <c r="P14" s="27">
        <f t="shared" si="12"/>
        <v>13.032454946176003</v>
      </c>
      <c r="Q14" s="28">
        <f t="shared" si="13"/>
        <v>338.8438286005761</v>
      </c>
      <c r="R14" s="31">
        <v>4703.84</v>
      </c>
      <c r="S14" s="27">
        <f t="shared" si="14"/>
        <v>7.2035577018048247E-2</v>
      </c>
      <c r="T14" s="27">
        <v>6.3E-2</v>
      </c>
      <c r="U14" s="27">
        <f t="shared" si="16"/>
        <v>7.6229999999999992E-2</v>
      </c>
    </row>
    <row r="15" spans="1:21">
      <c r="A15" s="65">
        <v>7</v>
      </c>
      <c r="B15" s="26" t="s">
        <v>88</v>
      </c>
      <c r="C15" s="78">
        <f>9.64+9.67+9.6+8.49</f>
        <v>37.400000000000006</v>
      </c>
      <c r="D15" s="27">
        <f t="shared" si="3"/>
        <v>4.986666666666667E-3</v>
      </c>
      <c r="E15" s="28">
        <f>64.92+65.04+65.46+65.13</f>
        <v>260.55</v>
      </c>
      <c r="F15" s="27">
        <f t="shared" si="1"/>
        <v>0.14475000000000002</v>
      </c>
      <c r="G15" s="27">
        <f t="shared" si="2"/>
        <v>0.14973666666666668</v>
      </c>
      <c r="H15" s="27">
        <f t="shared" si="4"/>
        <v>125.77880000000002</v>
      </c>
      <c r="I15" s="27">
        <f t="shared" si="5"/>
        <v>12.577880000000002</v>
      </c>
      <c r="J15" s="27">
        <f t="shared" si="6"/>
        <v>12.577880000000002</v>
      </c>
      <c r="K15" s="27">
        <f t="shared" si="7"/>
        <v>150.93456</v>
      </c>
      <c r="L15" s="27">
        <f t="shared" si="8"/>
        <v>2.777195904</v>
      </c>
      <c r="M15" s="27">
        <f t="shared" si="9"/>
        <v>1.0810987333333335</v>
      </c>
      <c r="N15" s="27">
        <f t="shared" si="10"/>
        <v>24.401087200000003</v>
      </c>
      <c r="O15" s="27">
        <f t="shared" si="11"/>
        <v>179.19394183733334</v>
      </c>
      <c r="P15" s="27">
        <f t="shared" si="12"/>
        <v>7.1677576734933339</v>
      </c>
      <c r="Q15" s="28">
        <f t="shared" si="13"/>
        <v>186.36169951082667</v>
      </c>
      <c r="R15" s="30">
        <v>2722.31</v>
      </c>
      <c r="S15" s="27">
        <f t="shared" si="14"/>
        <v>6.8457192425119356E-2</v>
      </c>
      <c r="T15" s="27">
        <f t="shared" si="15"/>
        <v>6.8000000000000005E-2</v>
      </c>
      <c r="U15" s="27">
        <f t="shared" si="16"/>
        <v>8.2280000000000006E-2</v>
      </c>
    </row>
    <row r="16" spans="1:21">
      <c r="A16" s="65">
        <v>8</v>
      </c>
      <c r="B16" s="26" t="s">
        <v>89</v>
      </c>
      <c r="C16" s="78">
        <v>21.18</v>
      </c>
      <c r="D16" s="27">
        <f t="shared" si="3"/>
        <v>2.8240000000000001E-3</v>
      </c>
      <c r="E16" s="28">
        <v>130.1</v>
      </c>
      <c r="F16" s="27">
        <f t="shared" si="1"/>
        <v>7.2277777777777774E-2</v>
      </c>
      <c r="G16" s="27">
        <f t="shared" si="2"/>
        <v>7.5101777777777767E-2</v>
      </c>
      <c r="H16" s="27">
        <f t="shared" si="4"/>
        <v>63.085493333333325</v>
      </c>
      <c r="I16" s="27">
        <f t="shared" si="5"/>
        <v>6.3085493333333327</v>
      </c>
      <c r="J16" s="27">
        <f t="shared" si="6"/>
        <v>6.3085493333333327</v>
      </c>
      <c r="K16" s="27">
        <f t="shared" si="7"/>
        <v>75.702591999999996</v>
      </c>
      <c r="L16" s="27">
        <f t="shared" si="8"/>
        <v>1.3929276927999998</v>
      </c>
      <c r="M16" s="27">
        <f t="shared" si="9"/>
        <v>0.54223483555555552</v>
      </c>
      <c r="N16" s="27">
        <f t="shared" si="10"/>
        <v>12.238585706666665</v>
      </c>
      <c r="O16" s="27">
        <f t="shared" si="11"/>
        <v>89.876340235022226</v>
      </c>
      <c r="P16" s="27">
        <f t="shared" si="12"/>
        <v>3.5950536094008889</v>
      </c>
      <c r="Q16" s="28">
        <f t="shared" si="13"/>
        <v>93.471393844423119</v>
      </c>
      <c r="R16" s="30">
        <v>1353.81</v>
      </c>
      <c r="S16" s="27">
        <f t="shared" si="14"/>
        <v>6.9043214220919566E-2</v>
      </c>
      <c r="T16" s="27">
        <f t="shared" si="15"/>
        <v>6.9000000000000006E-2</v>
      </c>
      <c r="U16" s="27">
        <f t="shared" si="16"/>
        <v>8.3490000000000009E-2</v>
      </c>
    </row>
    <row r="17" spans="1:21">
      <c r="A17" s="65">
        <v>9</v>
      </c>
      <c r="B17" s="26" t="s">
        <v>90</v>
      </c>
      <c r="C17" s="78">
        <v>35</v>
      </c>
      <c r="D17" s="27">
        <f t="shared" si="3"/>
        <v>4.6666666666666671E-3</v>
      </c>
      <c r="E17" s="28">
        <v>265.86</v>
      </c>
      <c r="F17" s="27">
        <f t="shared" si="1"/>
        <v>0.1477</v>
      </c>
      <c r="G17" s="27">
        <f t="shared" si="2"/>
        <v>0.15236666666666668</v>
      </c>
      <c r="H17" s="27">
        <f t="shared" si="4"/>
        <v>127.98800000000001</v>
      </c>
      <c r="I17" s="27">
        <f t="shared" si="5"/>
        <v>12.798800000000002</v>
      </c>
      <c r="J17" s="27">
        <f t="shared" si="6"/>
        <v>12.798800000000002</v>
      </c>
      <c r="K17" s="27">
        <f t="shared" si="7"/>
        <v>153.58560000000003</v>
      </c>
      <c r="L17" s="27">
        <f t="shared" si="8"/>
        <v>2.8259750400000003</v>
      </c>
      <c r="M17" s="27">
        <f t="shared" si="9"/>
        <v>1.1000873333333334</v>
      </c>
      <c r="N17" s="27">
        <f t="shared" si="10"/>
        <v>24.829672000000002</v>
      </c>
      <c r="O17" s="27">
        <f t="shared" si="11"/>
        <v>182.34133437333338</v>
      </c>
      <c r="P17" s="27">
        <f t="shared" si="12"/>
        <v>7.293653374933335</v>
      </c>
      <c r="Q17" s="28">
        <f t="shared" si="13"/>
        <v>189.63498774826672</v>
      </c>
      <c r="R17" s="31">
        <v>2682.01</v>
      </c>
      <c r="S17" s="27">
        <f t="shared" si="14"/>
        <v>7.0706294066117101E-2</v>
      </c>
      <c r="T17" s="27">
        <f t="shared" si="15"/>
        <v>7.0999999999999994E-2</v>
      </c>
      <c r="U17" s="27">
        <f t="shared" si="16"/>
        <v>8.5909999999999986E-2</v>
      </c>
    </row>
    <row r="18" spans="1:21">
      <c r="A18" s="65">
        <v>10</v>
      </c>
      <c r="B18" s="26" t="s">
        <v>91</v>
      </c>
      <c r="C18" s="78">
        <v>16</v>
      </c>
      <c r="D18" s="27">
        <f>C18/7500</f>
        <v>2.1333333333333334E-3</v>
      </c>
      <c r="E18" s="66">
        <v>126.74</v>
      </c>
      <c r="F18" s="27">
        <f>E18/1800</f>
        <v>7.0411111111111105E-2</v>
      </c>
      <c r="G18" s="27">
        <f t="shared" si="2"/>
        <v>7.2544444444444439E-2</v>
      </c>
      <c r="H18" s="27">
        <f t="shared" si="4"/>
        <v>60.937333333333328</v>
      </c>
      <c r="I18" s="27">
        <f t="shared" si="5"/>
        <v>6.0937333333333328</v>
      </c>
      <c r="J18" s="27">
        <f t="shared" si="6"/>
        <v>6.0937333333333328</v>
      </c>
      <c r="K18" s="27">
        <f t="shared" si="7"/>
        <v>73.124799999999993</v>
      </c>
      <c r="L18" s="27">
        <f t="shared" si="8"/>
        <v>1.3454963199999999</v>
      </c>
      <c r="M18" s="27">
        <f t="shared" si="9"/>
        <v>0.52377088888888879</v>
      </c>
      <c r="N18" s="27">
        <f t="shared" si="10"/>
        <v>11.821842666666665</v>
      </c>
      <c r="O18" s="27">
        <f t="shared" si="11"/>
        <v>86.815909875555548</v>
      </c>
      <c r="P18" s="27">
        <f t="shared" si="12"/>
        <v>3.4726363950222221</v>
      </c>
      <c r="Q18" s="28">
        <f t="shared" si="13"/>
        <v>90.288546270577768</v>
      </c>
      <c r="R18" s="31">
        <v>1346.95</v>
      </c>
      <c r="S18" s="27">
        <f t="shared" si="14"/>
        <v>6.7031846965795144E-2</v>
      </c>
      <c r="T18" s="27">
        <f t="shared" si="15"/>
        <v>6.7000000000000004E-2</v>
      </c>
      <c r="U18" s="27">
        <f t="shared" si="16"/>
        <v>8.1070000000000003E-2</v>
      </c>
    </row>
    <row r="19" spans="1:21">
      <c r="A19" s="65">
        <v>11</v>
      </c>
      <c r="B19" s="26" t="s">
        <v>92</v>
      </c>
      <c r="C19" s="78">
        <v>16</v>
      </c>
      <c r="D19" s="27">
        <f t="shared" si="3"/>
        <v>2.1333333333333334E-3</v>
      </c>
      <c r="E19" s="28">
        <v>126.07</v>
      </c>
      <c r="F19" s="27">
        <f t="shared" si="1"/>
        <v>7.0038888888888887E-2</v>
      </c>
      <c r="G19" s="27">
        <f t="shared" si="2"/>
        <v>7.2172222222222221E-2</v>
      </c>
      <c r="H19" s="27">
        <f t="shared" si="4"/>
        <v>60.624666666666663</v>
      </c>
      <c r="I19" s="27">
        <f t="shared" si="5"/>
        <v>6.0624666666666664</v>
      </c>
      <c r="J19" s="27">
        <f t="shared" si="6"/>
        <v>6.0624666666666664</v>
      </c>
      <c r="K19" s="27">
        <f t="shared" si="7"/>
        <v>72.749600000000001</v>
      </c>
      <c r="L19" s="27">
        <f t="shared" si="8"/>
        <v>1.3385926399999999</v>
      </c>
      <c r="M19" s="27">
        <f t="shared" si="9"/>
        <v>0.52108344444444443</v>
      </c>
      <c r="N19" s="27">
        <f t="shared" si="10"/>
        <v>11.761185333333334</v>
      </c>
      <c r="O19" s="27">
        <f t="shared" si="11"/>
        <v>86.370461417777776</v>
      </c>
      <c r="P19" s="27">
        <f t="shared" si="12"/>
        <v>3.4548184567111111</v>
      </c>
      <c r="Q19" s="28">
        <f t="shared" si="13"/>
        <v>89.825279874488885</v>
      </c>
      <c r="R19" s="31">
        <v>1353.7</v>
      </c>
      <c r="S19" s="27">
        <f t="shared" si="14"/>
        <v>6.6355381454154455E-2</v>
      </c>
      <c r="T19" s="27">
        <f t="shared" si="15"/>
        <v>6.6000000000000003E-2</v>
      </c>
      <c r="U19" s="27">
        <f t="shared" si="16"/>
        <v>7.986E-2</v>
      </c>
    </row>
    <row r="20" spans="1:21">
      <c r="A20" s="65">
        <v>12</v>
      </c>
      <c r="B20" s="26" t="s">
        <v>93</v>
      </c>
      <c r="C20" s="78">
        <v>6.53</v>
      </c>
      <c r="D20" s="27">
        <f t="shared" si="3"/>
        <v>8.7066666666666672E-4</v>
      </c>
      <c r="E20" s="28">
        <v>50.46</v>
      </c>
      <c r="F20" s="27">
        <f t="shared" si="1"/>
        <v>2.8033333333333334E-2</v>
      </c>
      <c r="G20" s="27">
        <f t="shared" si="2"/>
        <v>2.8903999999999999E-2</v>
      </c>
      <c r="H20" s="27">
        <f t="shared" si="4"/>
        <v>24.27936</v>
      </c>
      <c r="I20" s="27">
        <f t="shared" si="5"/>
        <v>2.4279360000000003</v>
      </c>
      <c r="J20" s="27">
        <f t="shared" si="6"/>
        <v>2.4279360000000003</v>
      </c>
      <c r="K20" s="27">
        <f t="shared" si="7"/>
        <v>29.135231999999998</v>
      </c>
      <c r="L20" s="27">
        <f t="shared" si="8"/>
        <v>0.53608826879999993</v>
      </c>
      <c r="M20" s="27">
        <f t="shared" si="9"/>
        <v>0.20868687999999999</v>
      </c>
      <c r="N20" s="27">
        <f t="shared" si="10"/>
        <v>4.7101958399999999</v>
      </c>
      <c r="O20" s="27">
        <f t="shared" si="11"/>
        <v>34.590202988799994</v>
      </c>
      <c r="P20" s="27">
        <f t="shared" si="12"/>
        <v>1.3836081195519998</v>
      </c>
      <c r="Q20" s="28">
        <f t="shared" si="13"/>
        <v>35.973811108351995</v>
      </c>
      <c r="R20" s="31">
        <v>547.9</v>
      </c>
      <c r="S20" s="27">
        <f t="shared" si="14"/>
        <v>6.5657622026559587E-2</v>
      </c>
      <c r="T20" s="27">
        <f t="shared" si="15"/>
        <v>6.6000000000000003E-2</v>
      </c>
      <c r="U20" s="27">
        <f t="shared" si="16"/>
        <v>7.986E-2</v>
      </c>
    </row>
    <row r="21" spans="1:21">
      <c r="A21" s="65">
        <v>13</v>
      </c>
      <c r="B21" s="26" t="s">
        <v>94</v>
      </c>
      <c r="C21" s="78">
        <v>16</v>
      </c>
      <c r="D21" s="27">
        <f t="shared" si="3"/>
        <v>2.1333333333333334E-3</v>
      </c>
      <c r="E21" s="28">
        <v>128.06</v>
      </c>
      <c r="F21" s="27">
        <f t="shared" si="1"/>
        <v>7.1144444444444441E-2</v>
      </c>
      <c r="G21" s="27">
        <f t="shared" si="2"/>
        <v>7.3277777777777775E-2</v>
      </c>
      <c r="H21" s="27">
        <f t="shared" si="4"/>
        <v>61.553333333333327</v>
      </c>
      <c r="I21" s="27">
        <f t="shared" si="5"/>
        <v>6.1553333333333331</v>
      </c>
      <c r="J21" s="27">
        <f t="shared" si="6"/>
        <v>6.1553333333333331</v>
      </c>
      <c r="K21" s="27">
        <f t="shared" si="7"/>
        <v>73.86399999999999</v>
      </c>
      <c r="L21" s="27">
        <f t="shared" si="8"/>
        <v>1.3590975999999999</v>
      </c>
      <c r="M21" s="27">
        <f t="shared" si="9"/>
        <v>0.52906555555555557</v>
      </c>
      <c r="N21" s="27">
        <f t="shared" si="10"/>
        <v>11.941346666666666</v>
      </c>
      <c r="O21" s="27">
        <f t="shared" si="11"/>
        <v>87.693509822222211</v>
      </c>
      <c r="P21" s="27">
        <f t="shared" si="12"/>
        <v>3.5077403928888886</v>
      </c>
      <c r="Q21" s="28">
        <f t="shared" si="13"/>
        <v>91.201250215111102</v>
      </c>
      <c r="R21" s="30">
        <v>1367.16</v>
      </c>
      <c r="S21" s="27">
        <f t="shared" si="14"/>
        <v>6.6708541952010814E-2</v>
      </c>
      <c r="T21" s="27">
        <f t="shared" si="15"/>
        <v>6.7000000000000004E-2</v>
      </c>
      <c r="U21" s="27">
        <f t="shared" si="16"/>
        <v>8.1070000000000003E-2</v>
      </c>
    </row>
    <row r="22" spans="1:21">
      <c r="A22" s="65">
        <v>14</v>
      </c>
      <c r="B22" s="26" t="s">
        <v>95</v>
      </c>
      <c r="C22" s="78">
        <v>16</v>
      </c>
      <c r="D22" s="27">
        <f t="shared" si="3"/>
        <v>2.1333333333333334E-3</v>
      </c>
      <c r="E22" s="28">
        <v>129.61000000000001</v>
      </c>
      <c r="F22" s="27">
        <f t="shared" si="1"/>
        <v>7.2005555555555559E-2</v>
      </c>
      <c r="G22" s="27">
        <f t="shared" si="2"/>
        <v>7.4138888888888893E-2</v>
      </c>
      <c r="H22" s="27">
        <f t="shared" si="4"/>
        <v>62.276666666666671</v>
      </c>
      <c r="I22" s="27">
        <f t="shared" si="5"/>
        <v>6.2276666666666678</v>
      </c>
      <c r="J22" s="27">
        <f t="shared" si="6"/>
        <v>6.2276666666666678</v>
      </c>
      <c r="K22" s="27">
        <f t="shared" si="7"/>
        <v>74.731999999999999</v>
      </c>
      <c r="L22" s="27">
        <f t="shared" si="8"/>
        <v>1.3750688</v>
      </c>
      <c r="M22" s="27">
        <f t="shared" si="9"/>
        <v>0.53528277777777777</v>
      </c>
      <c r="N22" s="27">
        <f t="shared" si="10"/>
        <v>12.081673333333335</v>
      </c>
      <c r="O22" s="27">
        <f t="shared" si="11"/>
        <v>88.724024911111115</v>
      </c>
      <c r="P22" s="27">
        <f t="shared" si="12"/>
        <v>3.5489609964444448</v>
      </c>
      <c r="Q22" s="28">
        <f t="shared" si="13"/>
        <v>92.272985907555565</v>
      </c>
      <c r="R22" s="30">
        <v>1343.95</v>
      </c>
      <c r="S22" s="27">
        <f t="shared" si="14"/>
        <v>6.8658049709851982E-2</v>
      </c>
      <c r="T22" s="27">
        <f t="shared" si="15"/>
        <v>6.9000000000000006E-2</v>
      </c>
      <c r="U22" s="27">
        <f t="shared" si="16"/>
        <v>8.3490000000000009E-2</v>
      </c>
    </row>
    <row r="23" spans="1:21">
      <c r="A23" s="65">
        <v>15</v>
      </c>
      <c r="B23" s="26" t="s">
        <v>96</v>
      </c>
      <c r="C23" s="78">
        <v>15.88</v>
      </c>
      <c r="D23" s="27">
        <f t="shared" si="3"/>
        <v>2.1173333333333335E-3</v>
      </c>
      <c r="E23" s="28">
        <v>131.05000000000001</v>
      </c>
      <c r="F23" s="27">
        <f t="shared" si="1"/>
        <v>7.2805555555555568E-2</v>
      </c>
      <c r="G23" s="27">
        <f t="shared" si="2"/>
        <v>7.49228888888889E-2</v>
      </c>
      <c r="H23" s="27">
        <f t="shared" si="4"/>
        <v>62.935226666666679</v>
      </c>
      <c r="I23" s="27">
        <f t="shared" si="5"/>
        <v>6.2935226666666679</v>
      </c>
      <c r="J23" s="27">
        <f t="shared" si="6"/>
        <v>6.2935226666666679</v>
      </c>
      <c r="K23" s="27">
        <f t="shared" si="7"/>
        <v>75.522272000000015</v>
      </c>
      <c r="L23" s="27">
        <f t="shared" si="8"/>
        <v>1.3896098048000003</v>
      </c>
      <c r="M23" s="27">
        <f t="shared" si="9"/>
        <v>0.54094325777777785</v>
      </c>
      <c r="N23" s="27">
        <f t="shared" si="10"/>
        <v>12.209433973333336</v>
      </c>
      <c r="O23" s="27">
        <f t="shared" si="11"/>
        <v>89.662259035911134</v>
      </c>
      <c r="P23" s="27">
        <f t="shared" si="12"/>
        <v>3.5864903614364456</v>
      </c>
      <c r="Q23" s="28">
        <f t="shared" si="13"/>
        <v>93.248749397347581</v>
      </c>
      <c r="R23" s="31">
        <v>1370.85</v>
      </c>
      <c r="S23" s="27">
        <f t="shared" si="14"/>
        <v>6.802257679348403E-2</v>
      </c>
      <c r="T23" s="27">
        <f t="shared" si="15"/>
        <v>6.8000000000000005E-2</v>
      </c>
      <c r="U23" s="27">
        <f t="shared" si="16"/>
        <v>8.2280000000000006E-2</v>
      </c>
    </row>
    <row r="24" spans="1:21">
      <c r="A24" s="65">
        <v>16</v>
      </c>
      <c r="B24" s="26" t="s">
        <v>97</v>
      </c>
      <c r="C24" s="78">
        <v>8</v>
      </c>
      <c r="D24" s="27">
        <f t="shared" si="3"/>
        <v>1.0666666666666667E-3</v>
      </c>
      <c r="E24" s="28">
        <v>64.81</v>
      </c>
      <c r="F24" s="27">
        <f t="shared" si="1"/>
        <v>3.6005555555555555E-2</v>
      </c>
      <c r="G24" s="27">
        <f t="shared" si="2"/>
        <v>3.7072222222222222E-2</v>
      </c>
      <c r="H24" s="27">
        <f t="shared" si="4"/>
        <v>31.140666666666664</v>
      </c>
      <c r="I24" s="27">
        <f t="shared" si="5"/>
        <v>3.1140666666666665</v>
      </c>
      <c r="J24" s="27">
        <f t="shared" si="6"/>
        <v>3.1140666666666665</v>
      </c>
      <c r="K24" s="27">
        <f t="shared" si="7"/>
        <v>37.3688</v>
      </c>
      <c r="L24" s="27">
        <f t="shared" si="8"/>
        <v>0.68758591999999996</v>
      </c>
      <c r="M24" s="27">
        <f t="shared" si="9"/>
        <v>0.26766144444444445</v>
      </c>
      <c r="N24" s="27">
        <f t="shared" si="10"/>
        <v>6.0412893333333333</v>
      </c>
      <c r="O24" s="27">
        <f t="shared" si="11"/>
        <v>44.365336697777771</v>
      </c>
      <c r="P24" s="27">
        <f t="shared" si="12"/>
        <v>1.774613467911111</v>
      </c>
      <c r="Q24" s="28">
        <f t="shared" si="13"/>
        <v>46.13995016568888</v>
      </c>
      <c r="R24" s="30">
        <v>695.42</v>
      </c>
      <c r="S24" s="27">
        <f t="shared" si="14"/>
        <v>6.634832211568388E-2</v>
      </c>
      <c r="T24" s="27">
        <f t="shared" si="15"/>
        <v>6.6000000000000003E-2</v>
      </c>
      <c r="U24" s="27">
        <f t="shared" si="16"/>
        <v>7.986E-2</v>
      </c>
    </row>
    <row r="25" spans="1:21">
      <c r="A25" s="65">
        <v>17</v>
      </c>
      <c r="B25" s="26" t="s">
        <v>98</v>
      </c>
      <c r="C25" s="78">
        <v>8.36</v>
      </c>
      <c r="D25" s="27">
        <f t="shared" si="3"/>
        <v>1.1146666666666666E-3</v>
      </c>
      <c r="E25" s="28">
        <v>198.23</v>
      </c>
      <c r="F25" s="27">
        <f t="shared" si="1"/>
        <v>0.11012777777777777</v>
      </c>
      <c r="G25" s="27">
        <f t="shared" si="2"/>
        <v>0.11124244444444444</v>
      </c>
      <c r="H25" s="27">
        <f t="shared" si="4"/>
        <v>93.44365333333333</v>
      </c>
      <c r="I25" s="27">
        <f t="shared" si="5"/>
        <v>9.3443653333333341</v>
      </c>
      <c r="J25" s="27">
        <f t="shared" si="6"/>
        <v>9.3443653333333341</v>
      </c>
      <c r="K25" s="27">
        <f t="shared" si="7"/>
        <v>112.13238399999999</v>
      </c>
      <c r="L25" s="27">
        <f t="shared" si="8"/>
        <v>2.0632358655999998</v>
      </c>
      <c r="M25" s="27">
        <f t="shared" si="9"/>
        <v>0.80317044888888878</v>
      </c>
      <c r="N25" s="27">
        <f t="shared" si="10"/>
        <v>18.128068746666667</v>
      </c>
      <c r="O25" s="27">
        <f t="shared" si="11"/>
        <v>133.12685906115556</v>
      </c>
      <c r="P25" s="27">
        <f t="shared" si="12"/>
        <v>5.3250743624462222</v>
      </c>
      <c r="Q25" s="28">
        <f t="shared" si="13"/>
        <v>138.45193342360179</v>
      </c>
      <c r="R25" s="31">
        <v>2246.48</v>
      </c>
      <c r="S25" s="27">
        <f t="shared" si="14"/>
        <v>6.1630610298601271E-2</v>
      </c>
      <c r="T25" s="27">
        <f t="shared" si="15"/>
        <v>6.2E-2</v>
      </c>
      <c r="U25" s="27">
        <f t="shared" si="16"/>
        <v>7.5020000000000003E-2</v>
      </c>
    </row>
    <row r="26" spans="1:21">
      <c r="A26" s="65">
        <v>18</v>
      </c>
      <c r="B26" s="26" t="s">
        <v>99</v>
      </c>
      <c r="C26" s="78">
        <v>15</v>
      </c>
      <c r="D26" s="27">
        <f t="shared" si="3"/>
        <v>2E-3</v>
      </c>
      <c r="E26" s="28">
        <v>128.1</v>
      </c>
      <c r="F26" s="27">
        <f t="shared" si="1"/>
        <v>7.116666666666667E-2</v>
      </c>
      <c r="G26" s="27">
        <f t="shared" si="2"/>
        <v>7.3166666666666672E-2</v>
      </c>
      <c r="H26" s="27">
        <f t="shared" si="4"/>
        <v>61.46</v>
      </c>
      <c r="I26" s="27">
        <f t="shared" si="5"/>
        <v>6.1460000000000008</v>
      </c>
      <c r="J26" s="27">
        <f t="shared" si="6"/>
        <v>6.1460000000000008</v>
      </c>
      <c r="K26" s="27">
        <f t="shared" si="7"/>
        <v>73.751999999999995</v>
      </c>
      <c r="L26" s="27">
        <f t="shared" si="8"/>
        <v>1.3570367999999999</v>
      </c>
      <c r="M26" s="27">
        <f t="shared" si="9"/>
        <v>0.52826333333333331</v>
      </c>
      <c r="N26" s="27">
        <f t="shared" si="10"/>
        <v>11.92324</v>
      </c>
      <c r="O26" s="27">
        <f t="shared" si="11"/>
        <v>87.560540133333319</v>
      </c>
      <c r="P26" s="27">
        <f t="shared" si="12"/>
        <v>3.5024216053333328</v>
      </c>
      <c r="Q26" s="28">
        <f t="shared" si="13"/>
        <v>91.062961738666658</v>
      </c>
      <c r="R26" s="30">
        <v>1351.84</v>
      </c>
      <c r="S26" s="27">
        <f t="shared" si="14"/>
        <v>6.7362233502978652E-2</v>
      </c>
      <c r="T26" s="27">
        <f t="shared" si="15"/>
        <v>6.7000000000000004E-2</v>
      </c>
      <c r="U26" s="27">
        <f t="shared" si="16"/>
        <v>8.1070000000000003E-2</v>
      </c>
    </row>
    <row r="27" spans="1:21">
      <c r="A27" s="65">
        <v>19</v>
      </c>
      <c r="B27" s="26" t="s">
        <v>100</v>
      </c>
      <c r="C27" s="78">
        <v>8</v>
      </c>
      <c r="D27" s="27">
        <f t="shared" si="3"/>
        <v>1.0666666666666667E-3</v>
      </c>
      <c r="E27" s="28">
        <v>65.05</v>
      </c>
      <c r="F27" s="27">
        <f t="shared" si="1"/>
        <v>3.6138888888888887E-2</v>
      </c>
      <c r="G27" s="27">
        <f t="shared" si="2"/>
        <v>3.7205555555555554E-2</v>
      </c>
      <c r="H27" s="27">
        <f t="shared" si="4"/>
        <v>31.252666666666666</v>
      </c>
      <c r="I27" s="27">
        <f t="shared" si="5"/>
        <v>3.1252666666666666</v>
      </c>
      <c r="J27" s="27">
        <f t="shared" si="6"/>
        <v>3.1252666666666666</v>
      </c>
      <c r="K27" s="27">
        <f t="shared" si="7"/>
        <v>37.5032</v>
      </c>
      <c r="L27" s="27">
        <f t="shared" si="8"/>
        <v>0.69005887999999993</v>
      </c>
      <c r="M27" s="27">
        <f t="shared" si="9"/>
        <v>0.26862411111111112</v>
      </c>
      <c r="N27" s="27">
        <f t="shared" si="10"/>
        <v>6.0630173333333337</v>
      </c>
      <c r="O27" s="27">
        <f t="shared" si="11"/>
        <v>44.524900324444445</v>
      </c>
      <c r="P27" s="27">
        <f t="shared" si="12"/>
        <v>1.7809960129777778</v>
      </c>
      <c r="Q27" s="28">
        <f t="shared" si="13"/>
        <v>46.305896337422226</v>
      </c>
      <c r="R27" s="30">
        <v>678.3</v>
      </c>
      <c r="S27" s="27">
        <f t="shared" si="14"/>
        <v>6.8267575316854234E-2</v>
      </c>
      <c r="T27" s="27">
        <f t="shared" si="15"/>
        <v>6.8000000000000005E-2</v>
      </c>
      <c r="U27" s="27">
        <f t="shared" si="16"/>
        <v>8.2280000000000006E-2</v>
      </c>
    </row>
    <row r="28" spans="1:21" s="54" customFormat="1">
      <c r="A28" s="65">
        <v>20</v>
      </c>
      <c r="B28" s="26" t="s">
        <v>101</v>
      </c>
      <c r="C28" s="79">
        <v>8.01</v>
      </c>
      <c r="D28" s="27">
        <f>C28/7500</f>
        <v>1.0679999999999999E-3</v>
      </c>
      <c r="E28" s="66">
        <v>64.53</v>
      </c>
      <c r="F28" s="27">
        <f>E28/1800</f>
        <v>3.585E-2</v>
      </c>
      <c r="G28" s="27">
        <f t="shared" si="2"/>
        <v>3.6917999999999999E-2</v>
      </c>
      <c r="H28" s="27">
        <f t="shared" si="4"/>
        <v>31.011119999999998</v>
      </c>
      <c r="I28" s="27">
        <f t="shared" si="5"/>
        <v>3.1011120000000001</v>
      </c>
      <c r="J28" s="27">
        <f t="shared" si="6"/>
        <v>3.1011120000000001</v>
      </c>
      <c r="K28" s="27">
        <f t="shared" si="7"/>
        <v>37.213343999999999</v>
      </c>
      <c r="L28" s="27">
        <f t="shared" si="8"/>
        <v>0.68472552959999999</v>
      </c>
      <c r="M28" s="27">
        <f t="shared" si="9"/>
        <v>0.26654795999999997</v>
      </c>
      <c r="N28" s="27">
        <f t="shared" si="10"/>
        <v>6.0161572799999998</v>
      </c>
      <c r="O28" s="27">
        <f t="shared" si="11"/>
        <v>44.180774769599999</v>
      </c>
      <c r="P28" s="27">
        <f t="shared" si="12"/>
        <v>1.767230990784</v>
      </c>
      <c r="Q28" s="28">
        <f t="shared" si="13"/>
        <v>45.948005760384</v>
      </c>
      <c r="R28" s="29">
        <v>678.76</v>
      </c>
      <c r="S28" s="27">
        <f t="shared" si="14"/>
        <v>6.769403877715835E-2</v>
      </c>
      <c r="T28" s="27">
        <f t="shared" si="15"/>
        <v>6.8000000000000005E-2</v>
      </c>
      <c r="U28" s="27">
        <f t="shared" si="16"/>
        <v>8.2280000000000006E-2</v>
      </c>
    </row>
    <row r="29" spans="1:21">
      <c r="A29" s="65">
        <v>21</v>
      </c>
      <c r="B29" s="26" t="s">
        <v>102</v>
      </c>
      <c r="C29" s="78">
        <v>44</v>
      </c>
      <c r="D29" s="27">
        <f t="shared" si="3"/>
        <v>5.8666666666666667E-3</v>
      </c>
      <c r="E29" s="28">
        <v>273.43</v>
      </c>
      <c r="F29" s="27">
        <f t="shared" si="1"/>
        <v>0.15190555555555557</v>
      </c>
      <c r="G29" s="27">
        <f t="shared" si="2"/>
        <v>0.15777222222222223</v>
      </c>
      <c r="H29" s="27">
        <f t="shared" si="4"/>
        <v>132.52866666666668</v>
      </c>
      <c r="I29" s="27">
        <f t="shared" si="5"/>
        <v>13.252866666666669</v>
      </c>
      <c r="J29" s="27">
        <f t="shared" si="6"/>
        <v>13.252866666666669</v>
      </c>
      <c r="K29" s="27">
        <f t="shared" si="7"/>
        <v>159.03440000000003</v>
      </c>
      <c r="L29" s="27">
        <f t="shared" si="8"/>
        <v>2.9262329600000005</v>
      </c>
      <c r="M29" s="27">
        <f t="shared" si="9"/>
        <v>1.1391154444444445</v>
      </c>
      <c r="N29" s="27">
        <f t="shared" si="10"/>
        <v>25.710561333333338</v>
      </c>
      <c r="O29" s="27">
        <f t="shared" si="11"/>
        <v>188.81030973777783</v>
      </c>
      <c r="P29" s="27">
        <f t="shared" si="12"/>
        <v>7.5524123895111135</v>
      </c>
      <c r="Q29" s="28">
        <f t="shared" si="13"/>
        <v>196.36272212728895</v>
      </c>
      <c r="R29" s="31">
        <v>2720.07</v>
      </c>
      <c r="S29" s="27">
        <f t="shared" si="14"/>
        <v>7.2190319413577203E-2</v>
      </c>
      <c r="T29" s="27">
        <f t="shared" si="15"/>
        <v>7.1999999999999995E-2</v>
      </c>
      <c r="U29" s="27">
        <f t="shared" si="16"/>
        <v>8.7119999999999989E-2</v>
      </c>
    </row>
    <row r="30" spans="1:21">
      <c r="A30" s="65">
        <v>22</v>
      </c>
      <c r="B30" s="26" t="s">
        <v>103</v>
      </c>
      <c r="C30" s="78">
        <f>5.08+5.08</f>
        <v>10.16</v>
      </c>
      <c r="D30" s="27">
        <f t="shared" si="3"/>
        <v>1.3546666666666668E-3</v>
      </c>
      <c r="E30" s="28">
        <f>66.11+66.11</f>
        <v>132.22</v>
      </c>
      <c r="F30" s="27">
        <f t="shared" si="1"/>
        <v>7.3455555555555552E-2</v>
      </c>
      <c r="G30" s="27">
        <f t="shared" si="2"/>
        <v>7.4810222222222222E-2</v>
      </c>
      <c r="H30" s="27">
        <f t="shared" si="4"/>
        <v>62.840586666666667</v>
      </c>
      <c r="I30" s="27">
        <f t="shared" si="5"/>
        <v>6.2840586666666667</v>
      </c>
      <c r="J30" s="27">
        <f t="shared" si="6"/>
        <v>6.2840586666666667</v>
      </c>
      <c r="K30" s="27">
        <f t="shared" si="7"/>
        <v>75.408704</v>
      </c>
      <c r="L30" s="27">
        <f t="shared" si="8"/>
        <v>1.3875201535999999</v>
      </c>
      <c r="M30" s="27">
        <f t="shared" si="9"/>
        <v>0.54012980444444447</v>
      </c>
      <c r="N30" s="27">
        <f t="shared" si="10"/>
        <v>12.191073813333334</v>
      </c>
      <c r="O30" s="27">
        <f t="shared" si="11"/>
        <v>89.527427771377774</v>
      </c>
      <c r="P30" s="27">
        <f t="shared" si="12"/>
        <v>3.5810971108551111</v>
      </c>
      <c r="Q30" s="28">
        <f t="shared" si="13"/>
        <v>93.108524882232885</v>
      </c>
      <c r="R30" s="31">
        <v>1463.3</v>
      </c>
      <c r="S30" s="27">
        <f t="shared" si="14"/>
        <v>6.3629142952390416E-2</v>
      </c>
      <c r="T30" s="27">
        <f t="shared" si="15"/>
        <v>6.4000000000000001E-2</v>
      </c>
      <c r="U30" s="27">
        <f t="shared" si="16"/>
        <v>7.7439999999999995E-2</v>
      </c>
    </row>
    <row r="31" spans="1:21">
      <c r="A31" s="65">
        <v>23</v>
      </c>
      <c r="B31" s="26" t="s">
        <v>104</v>
      </c>
      <c r="C31" s="78">
        <v>8</v>
      </c>
      <c r="D31" s="27">
        <f t="shared" si="3"/>
        <v>1.0666666666666667E-3</v>
      </c>
      <c r="E31" s="28">
        <v>84.35</v>
      </c>
      <c r="F31" s="27">
        <f t="shared" si="1"/>
        <v>4.686111111111111E-2</v>
      </c>
      <c r="G31" s="27">
        <f t="shared" si="2"/>
        <v>4.7927777777777777E-2</v>
      </c>
      <c r="H31" s="27">
        <f t="shared" si="4"/>
        <v>40.259333333333331</v>
      </c>
      <c r="I31" s="27">
        <f t="shared" si="5"/>
        <v>4.0259333333333336</v>
      </c>
      <c r="J31" s="27">
        <f t="shared" si="6"/>
        <v>4.0259333333333336</v>
      </c>
      <c r="K31" s="27">
        <f t="shared" si="7"/>
        <v>48.311199999999999</v>
      </c>
      <c r="L31" s="27">
        <f t="shared" si="8"/>
        <v>0.88892607999999995</v>
      </c>
      <c r="M31" s="27">
        <f t="shared" si="9"/>
        <v>0.34603855555555552</v>
      </c>
      <c r="N31" s="27">
        <f t="shared" si="10"/>
        <v>7.8103106666666662</v>
      </c>
      <c r="O31" s="27">
        <f t="shared" si="11"/>
        <v>57.356475302222222</v>
      </c>
      <c r="P31" s="27">
        <f t="shared" si="12"/>
        <v>2.2942590120888888</v>
      </c>
      <c r="Q31" s="28">
        <f t="shared" si="13"/>
        <v>59.650734314311109</v>
      </c>
      <c r="R31" s="31">
        <v>729.62</v>
      </c>
      <c r="S31" s="27">
        <f t="shared" si="14"/>
        <v>8.1755892539008126E-2</v>
      </c>
      <c r="T31" s="27">
        <f t="shared" si="15"/>
        <v>8.2000000000000003E-2</v>
      </c>
      <c r="U31" s="27">
        <f t="shared" si="16"/>
        <v>9.9220000000000003E-2</v>
      </c>
    </row>
    <row r="32" spans="1:21">
      <c r="A32" s="65">
        <v>24</v>
      </c>
      <c r="B32" s="26" t="s">
        <v>212</v>
      </c>
      <c r="C32">
        <v>0.24293480788177341</v>
      </c>
      <c r="D32">
        <v>204.06523862068966</v>
      </c>
      <c r="E32">
        <v>20.406523862068966</v>
      </c>
      <c r="F32">
        <v>20.406523862068966</v>
      </c>
      <c r="G32">
        <v>244.87828634482759</v>
      </c>
      <c r="H32">
        <v>4.5057604687448274</v>
      </c>
      <c r="I32"/>
      <c r="J32">
        <v>1.7539893129064039</v>
      </c>
      <c r="K32">
        <v>39.588656292413795</v>
      </c>
      <c r="L32">
        <v>290.72669241889264</v>
      </c>
      <c r="M32">
        <v>11.629067696755707</v>
      </c>
      <c r="N32">
        <v>302.35576011564837</v>
      </c>
      <c r="O32">
        <v>2042.87</v>
      </c>
      <c r="P32">
        <v>0.14800538463810639</v>
      </c>
      <c r="Q32">
        <v>0.14799999999999999</v>
      </c>
      <c r="R32" s="31"/>
      <c r="S32" s="27"/>
      <c r="T32" s="27">
        <v>0.14799999999999999</v>
      </c>
      <c r="U32" s="27">
        <f t="shared" si="16"/>
        <v>0.17907999999999999</v>
      </c>
    </row>
    <row r="33" spans="1:44">
      <c r="A33" s="65">
        <v>25</v>
      </c>
      <c r="B33" s="26" t="s">
        <v>105</v>
      </c>
      <c r="C33" s="78">
        <v>8</v>
      </c>
      <c r="D33" s="27">
        <f>C33/7500</f>
        <v>1.0666666666666667E-3</v>
      </c>
      <c r="E33" s="28">
        <v>63.85</v>
      </c>
      <c r="F33" s="27">
        <f t="shared" si="1"/>
        <v>3.5472222222222224E-2</v>
      </c>
      <c r="G33" s="27">
        <f t="shared" si="2"/>
        <v>3.6538888888888892E-2</v>
      </c>
      <c r="H33" s="27">
        <f t="shared" si="4"/>
        <v>30.692666666666668</v>
      </c>
      <c r="I33" s="27">
        <f t="shared" si="5"/>
        <v>3.069266666666667</v>
      </c>
      <c r="J33" s="27">
        <f t="shared" si="6"/>
        <v>3.069266666666667</v>
      </c>
      <c r="K33" s="27">
        <f t="shared" si="7"/>
        <v>36.831199999999995</v>
      </c>
      <c r="L33" s="27">
        <f t="shared" si="8"/>
        <v>0.67769407999999987</v>
      </c>
      <c r="M33" s="27">
        <f t="shared" si="9"/>
        <v>0.26381077777777778</v>
      </c>
      <c r="N33" s="27">
        <f t="shared" si="10"/>
        <v>5.9543773333333334</v>
      </c>
      <c r="O33" s="27">
        <f t="shared" si="11"/>
        <v>43.727082191111109</v>
      </c>
      <c r="P33" s="27">
        <f t="shared" si="12"/>
        <v>1.7490832876444444</v>
      </c>
      <c r="Q33" s="28">
        <f t="shared" si="13"/>
        <v>45.476165478755554</v>
      </c>
      <c r="R33" s="30">
        <v>677.6</v>
      </c>
      <c r="S33" s="27">
        <f t="shared" si="14"/>
        <v>6.7113585417289776E-2</v>
      </c>
      <c r="T33" s="27">
        <f t="shared" si="15"/>
        <v>6.7000000000000004E-2</v>
      </c>
      <c r="U33" s="27">
        <f t="shared" si="16"/>
        <v>8.1070000000000003E-2</v>
      </c>
    </row>
    <row r="34" spans="1:44">
      <c r="A34" s="65">
        <v>26</v>
      </c>
      <c r="B34" s="26" t="s">
        <v>106</v>
      </c>
      <c r="C34" s="78">
        <v>8</v>
      </c>
      <c r="D34" s="27">
        <f>C34/7500</f>
        <v>1.0666666666666667E-3</v>
      </c>
      <c r="E34" s="28">
        <v>63.7</v>
      </c>
      <c r="F34" s="27">
        <f t="shared" si="1"/>
        <v>3.5388888888888893E-2</v>
      </c>
      <c r="G34" s="27">
        <f t="shared" si="2"/>
        <v>3.645555555555556E-2</v>
      </c>
      <c r="H34" s="27">
        <f t="shared" si="4"/>
        <v>30.622666666666671</v>
      </c>
      <c r="I34" s="27">
        <f t="shared" si="5"/>
        <v>3.0622666666666674</v>
      </c>
      <c r="J34" s="27">
        <f t="shared" si="6"/>
        <v>3.0622666666666674</v>
      </c>
      <c r="K34" s="27">
        <f t="shared" si="7"/>
        <v>36.747200000000007</v>
      </c>
      <c r="L34" s="27">
        <f t="shared" si="8"/>
        <v>0.67614848000000016</v>
      </c>
      <c r="M34" s="27">
        <f t="shared" si="9"/>
        <v>0.26320911111111112</v>
      </c>
      <c r="N34" s="27">
        <f t="shared" si="10"/>
        <v>5.9407973333333342</v>
      </c>
      <c r="O34" s="27">
        <f t="shared" si="11"/>
        <v>43.627354924444454</v>
      </c>
      <c r="P34" s="27">
        <f t="shared" si="12"/>
        <v>1.7450941969777782</v>
      </c>
      <c r="Q34" s="28">
        <f t="shared" si="13"/>
        <v>45.372449121422235</v>
      </c>
      <c r="R34" s="30">
        <v>680.6</v>
      </c>
      <c r="S34" s="27">
        <f t="shared" si="14"/>
        <v>6.666536750135503E-2</v>
      </c>
      <c r="T34" s="27">
        <f t="shared" si="15"/>
        <v>6.7000000000000004E-2</v>
      </c>
      <c r="U34" s="27">
        <f t="shared" si="16"/>
        <v>8.1070000000000003E-2</v>
      </c>
    </row>
    <row r="35" spans="1:44">
      <c r="A35" s="65">
        <v>27</v>
      </c>
      <c r="B35" s="26" t="s">
        <v>107</v>
      </c>
      <c r="C35" s="78">
        <v>7</v>
      </c>
      <c r="D35" s="27">
        <f>C35/7500</f>
        <v>9.3333333333333332E-4</v>
      </c>
      <c r="E35" s="28">
        <v>64.92</v>
      </c>
      <c r="F35" s="27">
        <f t="shared" si="1"/>
        <v>3.606666666666667E-2</v>
      </c>
      <c r="G35" s="27">
        <f t="shared" si="2"/>
        <v>3.7000000000000005E-2</v>
      </c>
      <c r="H35" s="27">
        <f t="shared" si="4"/>
        <v>31.080000000000005</v>
      </c>
      <c r="I35" s="27">
        <f t="shared" si="5"/>
        <v>3.1080000000000005</v>
      </c>
      <c r="J35" s="27">
        <f t="shared" si="6"/>
        <v>3.1080000000000005</v>
      </c>
      <c r="K35" s="27">
        <f t="shared" si="7"/>
        <v>37.296000000000006</v>
      </c>
      <c r="L35" s="27">
        <f t="shared" si="8"/>
        <v>0.68624640000000015</v>
      </c>
      <c r="M35" s="27">
        <f t="shared" si="9"/>
        <v>0.26714000000000004</v>
      </c>
      <c r="N35" s="27">
        <f t="shared" si="10"/>
        <v>6.0295200000000015</v>
      </c>
      <c r="O35" s="27">
        <f t="shared" si="11"/>
        <v>44.278906400000011</v>
      </c>
      <c r="P35" s="27">
        <f t="shared" si="12"/>
        <v>1.7711562560000005</v>
      </c>
      <c r="Q35" s="28">
        <f t="shared" si="13"/>
        <v>46.050062656000009</v>
      </c>
      <c r="R35" s="30">
        <v>682.4</v>
      </c>
      <c r="S35" s="27">
        <f t="shared" si="14"/>
        <v>6.7482506822977739E-2</v>
      </c>
      <c r="T35" s="27">
        <f t="shared" si="15"/>
        <v>6.7000000000000004E-2</v>
      </c>
      <c r="U35" s="27">
        <f t="shared" si="16"/>
        <v>8.1070000000000003E-2</v>
      </c>
    </row>
    <row r="36" spans="1:44">
      <c r="A36" s="65">
        <v>28</v>
      </c>
      <c r="B36" s="26" t="s">
        <v>108</v>
      </c>
      <c r="C36" s="78">
        <v>4</v>
      </c>
      <c r="D36" s="27">
        <f t="shared" si="3"/>
        <v>5.3333333333333336E-4</v>
      </c>
      <c r="E36" s="28">
        <v>84.99</v>
      </c>
      <c r="F36" s="27">
        <f t="shared" si="1"/>
        <v>4.7216666666666664E-2</v>
      </c>
      <c r="G36" s="27">
        <f t="shared" si="2"/>
        <v>4.7749999999999994E-2</v>
      </c>
      <c r="H36" s="27">
        <f t="shared" si="4"/>
        <v>40.109999999999992</v>
      </c>
      <c r="I36" s="27">
        <f t="shared" si="5"/>
        <v>4.0109999999999992</v>
      </c>
      <c r="J36" s="27">
        <f t="shared" si="6"/>
        <v>4.0109999999999992</v>
      </c>
      <c r="K36" s="27">
        <f t="shared" si="7"/>
        <v>48.131999999999991</v>
      </c>
      <c r="L36" s="27">
        <f t="shared" si="8"/>
        <v>0.88562879999999977</v>
      </c>
      <c r="M36" s="27">
        <f t="shared" si="9"/>
        <v>0.34475499999999992</v>
      </c>
      <c r="N36" s="27">
        <f t="shared" si="10"/>
        <v>7.7813399999999984</v>
      </c>
      <c r="O36" s="27">
        <f t="shared" si="11"/>
        <v>57.143723799999989</v>
      </c>
      <c r="P36" s="27">
        <f t="shared" si="12"/>
        <v>2.2857489519999996</v>
      </c>
      <c r="Q36" s="28">
        <f t="shared" si="13"/>
        <v>59.429472751999988</v>
      </c>
      <c r="R36" s="30">
        <v>723.83</v>
      </c>
      <c r="S36" s="27">
        <f t="shared" si="14"/>
        <v>8.2104185723167022E-2</v>
      </c>
      <c r="T36" s="27">
        <f t="shared" si="15"/>
        <v>8.2000000000000003E-2</v>
      </c>
      <c r="U36" s="27">
        <f t="shared" si="16"/>
        <v>9.9220000000000003E-2</v>
      </c>
    </row>
    <row r="37" spans="1:44">
      <c r="A37" s="65">
        <v>29</v>
      </c>
      <c r="B37" s="26" t="s">
        <v>109</v>
      </c>
      <c r="C37" s="78">
        <v>26</v>
      </c>
      <c r="D37" s="27">
        <f t="shared" si="3"/>
        <v>3.4666666666666665E-3</v>
      </c>
      <c r="E37" s="28">
        <v>243.32</v>
      </c>
      <c r="F37" s="27">
        <f t="shared" si="1"/>
        <v>0.13517777777777779</v>
      </c>
      <c r="G37" s="27">
        <f t="shared" si="2"/>
        <v>0.13864444444444446</v>
      </c>
      <c r="H37" s="27">
        <f t="shared" si="4"/>
        <v>116.46133333333334</v>
      </c>
      <c r="I37" s="27">
        <f t="shared" si="5"/>
        <v>11.646133333333335</v>
      </c>
      <c r="J37" s="27">
        <f t="shared" si="6"/>
        <v>11.646133333333335</v>
      </c>
      <c r="K37" s="27">
        <f t="shared" si="7"/>
        <v>139.75360000000001</v>
      </c>
      <c r="L37" s="27">
        <f t="shared" si="8"/>
        <v>2.5714662399999999</v>
      </c>
      <c r="M37" s="27">
        <f t="shared" si="9"/>
        <v>1.001012888888889</v>
      </c>
      <c r="N37" s="27">
        <f t="shared" si="10"/>
        <v>22.593498666666669</v>
      </c>
      <c r="O37" s="27">
        <f t="shared" si="11"/>
        <v>165.91957779555557</v>
      </c>
      <c r="P37" s="27">
        <f t="shared" si="12"/>
        <v>6.6367831118222229</v>
      </c>
      <c r="Q37" s="28">
        <f t="shared" si="13"/>
        <v>172.55636090737778</v>
      </c>
      <c r="R37" s="30">
        <v>2726.51</v>
      </c>
      <c r="S37" s="27">
        <f t="shared" si="14"/>
        <v>6.3288365312204165E-2</v>
      </c>
      <c r="T37" s="27">
        <f t="shared" si="15"/>
        <v>6.3E-2</v>
      </c>
      <c r="U37" s="27">
        <f t="shared" si="16"/>
        <v>7.6229999999999992E-2</v>
      </c>
    </row>
    <row r="38" spans="1:44">
      <c r="A38" s="65">
        <v>30</v>
      </c>
      <c r="B38" s="26" t="s">
        <v>110</v>
      </c>
      <c r="C38" s="80">
        <f>17.87+7.55+8.86</f>
        <v>34.28</v>
      </c>
      <c r="D38" s="27">
        <f>C38/7500</f>
        <v>4.5706666666666665E-3</v>
      </c>
      <c r="E38" s="30">
        <f>144.2+78.58+76.56</f>
        <v>299.33999999999997</v>
      </c>
      <c r="F38" s="27">
        <f t="shared" si="1"/>
        <v>0.16629999999999998</v>
      </c>
      <c r="G38" s="27">
        <f t="shared" si="2"/>
        <v>0.17087066666666664</v>
      </c>
      <c r="H38" s="27">
        <f t="shared" si="4"/>
        <v>143.53135999999998</v>
      </c>
      <c r="I38" s="27">
        <f t="shared" si="5"/>
        <v>14.353135999999999</v>
      </c>
      <c r="J38" s="27">
        <f t="shared" si="6"/>
        <v>14.353135999999999</v>
      </c>
      <c r="K38" s="27">
        <f t="shared" si="7"/>
        <v>172.23763199999999</v>
      </c>
      <c r="L38" s="27">
        <f t="shared" si="8"/>
        <v>3.1691724287999996</v>
      </c>
      <c r="M38" s="27">
        <f t="shared" si="9"/>
        <v>1.2336862133333331</v>
      </c>
      <c r="N38" s="27">
        <f t="shared" si="10"/>
        <v>27.845083839999997</v>
      </c>
      <c r="O38" s="27">
        <f t="shared" si="11"/>
        <v>204.48557448213333</v>
      </c>
      <c r="P38" s="27">
        <f t="shared" si="12"/>
        <v>8.1794229792853326</v>
      </c>
      <c r="Q38" s="28">
        <f t="shared" si="13"/>
        <v>212.66499746141866</v>
      </c>
      <c r="R38" s="31">
        <v>2791.48</v>
      </c>
      <c r="S38" s="27">
        <f t="shared" si="14"/>
        <v>7.6183600620967615E-2</v>
      </c>
      <c r="T38" s="27">
        <f t="shared" si="15"/>
        <v>7.5999999999999998E-2</v>
      </c>
      <c r="U38" s="27">
        <f t="shared" si="16"/>
        <v>9.196E-2</v>
      </c>
    </row>
    <row r="39" spans="1:44">
      <c r="A39" s="65">
        <v>31</v>
      </c>
      <c r="B39" s="26" t="s">
        <v>111</v>
      </c>
      <c r="C39" s="78">
        <v>21.72</v>
      </c>
      <c r="D39" s="27">
        <f t="shared" si="3"/>
        <v>2.8959999999999997E-3</v>
      </c>
      <c r="E39" s="28">
        <v>145.46</v>
      </c>
      <c r="F39" s="27">
        <f t="shared" si="1"/>
        <v>8.0811111111111111E-2</v>
      </c>
      <c r="G39" s="27">
        <f t="shared" si="2"/>
        <v>8.3707111111111107E-2</v>
      </c>
      <c r="H39" s="27">
        <f t="shared" si="4"/>
        <v>70.313973333333337</v>
      </c>
      <c r="I39" s="27">
        <f t="shared" si="5"/>
        <v>7.0313973333333344</v>
      </c>
      <c r="J39" s="27">
        <f t="shared" si="6"/>
        <v>7.0313973333333344</v>
      </c>
      <c r="K39" s="27">
        <f t="shared" si="7"/>
        <v>84.376767999999998</v>
      </c>
      <c r="L39" s="27">
        <f t="shared" si="8"/>
        <v>1.5525325312</v>
      </c>
      <c r="M39" s="27">
        <f t="shared" si="9"/>
        <v>0.60436534222222216</v>
      </c>
      <c r="N39" s="27">
        <f t="shared" si="10"/>
        <v>13.640910826666667</v>
      </c>
      <c r="O39" s="27">
        <f t="shared" si="11"/>
        <v>100.17457670008889</v>
      </c>
      <c r="P39" s="27">
        <f t="shared" si="12"/>
        <v>4.0069830680035556</v>
      </c>
      <c r="Q39" s="28">
        <f t="shared" si="13"/>
        <v>104.18155976809244</v>
      </c>
      <c r="R39" s="30">
        <v>1095.0999999999999</v>
      </c>
      <c r="S39" s="27">
        <f t="shared" si="14"/>
        <v>9.5134288894249339E-2</v>
      </c>
      <c r="T39" s="27">
        <f t="shared" si="15"/>
        <v>9.5000000000000001E-2</v>
      </c>
      <c r="U39" s="27">
        <f t="shared" si="16"/>
        <v>0.11495</v>
      </c>
    </row>
    <row r="40" spans="1:44">
      <c r="A40" s="65">
        <v>32</v>
      </c>
      <c r="B40" s="26" t="s">
        <v>213</v>
      </c>
      <c r="C40">
        <v>0.28475001401354116</v>
      </c>
      <c r="D40">
        <v>239.19001177137457</v>
      </c>
      <c r="E40">
        <v>23.91900117713746</v>
      </c>
      <c r="F40">
        <v>23.91900117713746</v>
      </c>
      <c r="G40">
        <v>287.02801412564952</v>
      </c>
      <c r="H40">
        <v>5.2813154599119514</v>
      </c>
      <c r="I40"/>
      <c r="J40">
        <v>2.0558951011777671</v>
      </c>
      <c r="K40">
        <v>46.40286228364667</v>
      </c>
      <c r="L40">
        <v>340.76808697038598</v>
      </c>
      <c r="M40">
        <v>13.63072347881544</v>
      </c>
      <c r="N40">
        <v>354.39881044920139</v>
      </c>
      <c r="O40">
        <v>1911.8</v>
      </c>
      <c r="P40">
        <v>0.18537441701496046</v>
      </c>
      <c r="Q40">
        <v>0.185</v>
      </c>
      <c r="R40" s="30"/>
      <c r="S40" s="27"/>
      <c r="T40" s="27">
        <v>0.185</v>
      </c>
      <c r="U40" s="27">
        <f t="shared" si="16"/>
        <v>0.22384999999999999</v>
      </c>
    </row>
    <row r="41" spans="1:44">
      <c r="A41" s="65">
        <v>33</v>
      </c>
      <c r="B41" s="26" t="s">
        <v>112</v>
      </c>
      <c r="C41" s="78">
        <v>50.14</v>
      </c>
      <c r="D41" s="27">
        <f t="shared" si="3"/>
        <v>6.6853333333333331E-3</v>
      </c>
      <c r="E41" s="28">
        <v>402.35</v>
      </c>
      <c r="F41" s="27">
        <f t="shared" si="1"/>
        <v>0.2235277777777778</v>
      </c>
      <c r="G41" s="27">
        <f t="shared" si="2"/>
        <v>0.23021311111111112</v>
      </c>
      <c r="H41" s="27">
        <f t="shared" si="4"/>
        <v>193.37901333333335</v>
      </c>
      <c r="I41" s="27">
        <f t="shared" si="5"/>
        <v>19.337901333333335</v>
      </c>
      <c r="J41" s="27">
        <f t="shared" si="6"/>
        <v>19.337901333333335</v>
      </c>
      <c r="K41" s="27">
        <f t="shared" si="7"/>
        <v>232.05481600000002</v>
      </c>
      <c r="L41" s="27">
        <f t="shared" si="8"/>
        <v>4.2698086144000005</v>
      </c>
      <c r="M41" s="27">
        <f t="shared" si="9"/>
        <v>1.6621386622222223</v>
      </c>
      <c r="N41" s="27">
        <f t="shared" si="10"/>
        <v>37.515528586666669</v>
      </c>
      <c r="O41" s="27">
        <f t="shared" si="11"/>
        <v>275.50229186328892</v>
      </c>
      <c r="P41" s="27">
        <f t="shared" si="12"/>
        <v>11.020091674531557</v>
      </c>
      <c r="Q41" s="28">
        <f t="shared" si="13"/>
        <v>286.52238353782047</v>
      </c>
      <c r="R41" s="31">
        <v>3591.14</v>
      </c>
      <c r="S41" s="27">
        <f t="shared" si="14"/>
        <v>7.978591297967233E-2</v>
      </c>
      <c r="T41" s="27">
        <f t="shared" si="15"/>
        <v>0.08</v>
      </c>
      <c r="U41" s="27">
        <f t="shared" si="16"/>
        <v>9.6799999999999997E-2</v>
      </c>
    </row>
    <row r="42" spans="1:44">
      <c r="A42" s="65">
        <v>34</v>
      </c>
      <c r="B42" s="26" t="s">
        <v>113</v>
      </c>
      <c r="C42" s="78">
        <v>3.67</v>
      </c>
      <c r="D42" s="27">
        <f t="shared" si="3"/>
        <v>4.8933333333333337E-4</v>
      </c>
      <c r="E42" s="28">
        <v>224.57</v>
      </c>
      <c r="F42" s="27">
        <f t="shared" si="1"/>
        <v>0.1247611111111111</v>
      </c>
      <c r="G42" s="27">
        <f t="shared" si="2"/>
        <v>0.12525044444444444</v>
      </c>
      <c r="H42" s="27">
        <f t="shared" si="4"/>
        <v>105.21037333333334</v>
      </c>
      <c r="I42" s="27">
        <f t="shared" si="5"/>
        <v>10.521037333333334</v>
      </c>
      <c r="J42" s="27">
        <f t="shared" si="6"/>
        <v>10.521037333333334</v>
      </c>
      <c r="K42" s="27">
        <f t="shared" si="7"/>
        <v>126.25244800000002</v>
      </c>
      <c r="L42" s="27">
        <f t="shared" si="8"/>
        <v>2.3230450432</v>
      </c>
      <c r="M42" s="27">
        <f t="shared" si="9"/>
        <v>0.90430820888888885</v>
      </c>
      <c r="N42" s="27">
        <f t="shared" si="10"/>
        <v>20.410812426666666</v>
      </c>
      <c r="O42" s="27">
        <f t="shared" si="11"/>
        <v>149.89061367875559</v>
      </c>
      <c r="P42" s="27">
        <f t="shared" si="12"/>
        <v>5.9956245471502232</v>
      </c>
      <c r="Q42" s="28">
        <f t="shared" si="13"/>
        <v>155.8862382259058</v>
      </c>
      <c r="R42" s="31">
        <v>2202.04</v>
      </c>
      <c r="S42" s="27">
        <f t="shared" si="14"/>
        <v>7.0791737764030541E-2</v>
      </c>
      <c r="T42" s="27">
        <f t="shared" si="15"/>
        <v>7.0999999999999994E-2</v>
      </c>
      <c r="U42" s="27">
        <f t="shared" si="16"/>
        <v>8.5909999999999986E-2</v>
      </c>
    </row>
    <row r="43" spans="1:44">
      <c r="A43" s="65">
        <v>35</v>
      </c>
      <c r="B43" s="26" t="s">
        <v>114</v>
      </c>
      <c r="C43" s="78">
        <v>1.98</v>
      </c>
      <c r="D43" s="27">
        <f>C43/7500</f>
        <v>2.6400000000000002E-4</v>
      </c>
      <c r="E43" s="26">
        <v>111.47</v>
      </c>
      <c r="F43" s="27">
        <f>E43/1800</f>
        <v>6.1927777777777776E-2</v>
      </c>
      <c r="G43" s="27">
        <f t="shared" si="2"/>
        <v>6.2191777777777776E-2</v>
      </c>
      <c r="H43" s="27">
        <f t="shared" si="4"/>
        <v>52.241093333333332</v>
      </c>
      <c r="I43" s="27">
        <f t="shared" si="5"/>
        <v>5.2241093333333337</v>
      </c>
      <c r="J43" s="27">
        <f t="shared" si="6"/>
        <v>5.2241093333333337</v>
      </c>
      <c r="K43" s="27">
        <f t="shared" si="7"/>
        <v>62.689311999999994</v>
      </c>
      <c r="L43" s="27">
        <f t="shared" si="8"/>
        <v>1.1534833407999998</v>
      </c>
      <c r="M43" s="27">
        <f t="shared" si="9"/>
        <v>0.44902463555555555</v>
      </c>
      <c r="N43" s="27">
        <f t="shared" si="10"/>
        <v>10.134772106666667</v>
      </c>
      <c r="O43" s="27">
        <f t="shared" si="11"/>
        <v>74.426592083022229</v>
      </c>
      <c r="P43" s="27">
        <f t="shared" si="12"/>
        <v>2.977063683320889</v>
      </c>
      <c r="Q43" s="28">
        <f t="shared" si="13"/>
        <v>77.403655766343121</v>
      </c>
      <c r="R43" s="36">
        <v>1077.48</v>
      </c>
      <c r="S43" s="27">
        <f t="shared" si="14"/>
        <v>7.1837672872204703E-2</v>
      </c>
      <c r="T43" s="27">
        <f t="shared" si="15"/>
        <v>7.1999999999999995E-2</v>
      </c>
      <c r="U43" s="27">
        <f t="shared" si="16"/>
        <v>8.7119999999999989E-2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s="38" customFormat="1">
      <c r="A44" s="65">
        <v>36</v>
      </c>
      <c r="B44" s="26" t="s">
        <v>115</v>
      </c>
      <c r="C44" s="78">
        <v>2</v>
      </c>
      <c r="D44" s="27">
        <f t="shared" si="3"/>
        <v>2.6666666666666668E-4</v>
      </c>
      <c r="E44" s="28">
        <v>111.36</v>
      </c>
      <c r="F44" s="27">
        <f t="shared" si="1"/>
        <v>6.1866666666666667E-2</v>
      </c>
      <c r="G44" s="27">
        <f t="shared" si="2"/>
        <v>6.2133333333333332E-2</v>
      </c>
      <c r="H44" s="27">
        <f t="shared" si="4"/>
        <v>52.192</v>
      </c>
      <c r="I44" s="27">
        <f t="shared" si="5"/>
        <v>5.2192000000000007</v>
      </c>
      <c r="J44" s="27">
        <f t="shared" si="6"/>
        <v>5.2192000000000007</v>
      </c>
      <c r="K44" s="27">
        <f t="shared" si="7"/>
        <v>62.630400000000002</v>
      </c>
      <c r="L44" s="27">
        <f t="shared" si="8"/>
        <v>1.15239936</v>
      </c>
      <c r="M44" s="27">
        <f t="shared" si="9"/>
        <v>0.44860266666666665</v>
      </c>
      <c r="N44" s="27">
        <f t="shared" si="10"/>
        <v>10.125248000000001</v>
      </c>
      <c r="O44" s="27">
        <f t="shared" si="11"/>
        <v>74.356650026666671</v>
      </c>
      <c r="P44" s="27">
        <f t="shared" si="12"/>
        <v>2.9742660010666668</v>
      </c>
      <c r="Q44" s="28">
        <f t="shared" si="13"/>
        <v>77.330916027733338</v>
      </c>
      <c r="R44" s="31">
        <v>1074.3699999999999</v>
      </c>
      <c r="S44" s="27">
        <f t="shared" si="14"/>
        <v>7.1977918247655231E-2</v>
      </c>
      <c r="T44" s="27">
        <f t="shared" si="15"/>
        <v>7.1999999999999995E-2</v>
      </c>
      <c r="U44" s="27">
        <f t="shared" si="16"/>
        <v>8.7119999999999989E-2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>
      <c r="A45" s="65">
        <v>37</v>
      </c>
      <c r="B45" s="39" t="s">
        <v>116</v>
      </c>
      <c r="C45" s="81">
        <f>2.9</f>
        <v>2.9</v>
      </c>
      <c r="D45" s="27">
        <f t="shared" si="3"/>
        <v>3.8666666666666667E-4</v>
      </c>
      <c r="E45" s="41">
        <f>224.25</f>
        <v>224.25</v>
      </c>
      <c r="F45" s="27">
        <f t="shared" si="1"/>
        <v>0.12458333333333334</v>
      </c>
      <c r="G45" s="27">
        <f t="shared" si="2"/>
        <v>0.12497</v>
      </c>
      <c r="H45" s="27">
        <f t="shared" si="4"/>
        <v>104.9748</v>
      </c>
      <c r="I45" s="27">
        <f t="shared" si="5"/>
        <v>10.497480000000001</v>
      </c>
      <c r="J45" s="27">
        <f t="shared" si="6"/>
        <v>10.497480000000001</v>
      </c>
      <c r="K45" s="27">
        <f t="shared" si="7"/>
        <v>125.96975999999999</v>
      </c>
      <c r="L45" s="27">
        <f t="shared" si="8"/>
        <v>2.3178435839999998</v>
      </c>
      <c r="M45" s="27">
        <f t="shared" si="9"/>
        <v>0.90228339999999996</v>
      </c>
      <c r="N45" s="27">
        <f t="shared" si="10"/>
        <v>20.365111200000001</v>
      </c>
      <c r="O45" s="27">
        <f t="shared" si="11"/>
        <v>149.55499818399997</v>
      </c>
      <c r="P45" s="27">
        <f t="shared" si="12"/>
        <v>5.9821999273599991</v>
      </c>
      <c r="Q45" s="28">
        <f t="shared" si="13"/>
        <v>155.53719811135997</v>
      </c>
      <c r="R45" s="31">
        <v>2172.96</v>
      </c>
      <c r="S45" s="27">
        <f t="shared" si="14"/>
        <v>7.1578491141742126E-2</v>
      </c>
      <c r="T45" s="27">
        <f t="shared" si="15"/>
        <v>7.1999999999999995E-2</v>
      </c>
      <c r="U45" s="27">
        <f t="shared" si="16"/>
        <v>8.7119999999999989E-2</v>
      </c>
    </row>
    <row r="46" spans="1:44">
      <c r="A46" s="65">
        <v>38</v>
      </c>
      <c r="B46" s="26" t="s">
        <v>117</v>
      </c>
      <c r="C46" s="78">
        <v>4.7300000000000004</v>
      </c>
      <c r="D46" s="27">
        <f t="shared" si="3"/>
        <v>6.3066666666666675E-4</v>
      </c>
      <c r="E46" s="28">
        <v>224.52</v>
      </c>
      <c r="F46" s="27">
        <f t="shared" si="1"/>
        <v>0.12473333333333333</v>
      </c>
      <c r="G46" s="27">
        <f t="shared" si="2"/>
        <v>0.125364</v>
      </c>
      <c r="H46" s="27">
        <f t="shared" si="4"/>
        <v>105.30576000000001</v>
      </c>
      <c r="I46" s="27">
        <f t="shared" si="5"/>
        <v>10.530576000000002</v>
      </c>
      <c r="J46" s="27">
        <f t="shared" si="6"/>
        <v>10.530576000000002</v>
      </c>
      <c r="K46" s="27">
        <f t="shared" si="7"/>
        <v>126.366912</v>
      </c>
      <c r="L46" s="27">
        <f t="shared" si="8"/>
        <v>2.3251511807999998</v>
      </c>
      <c r="M46" s="27">
        <f t="shared" si="9"/>
        <v>0.90512808</v>
      </c>
      <c r="N46" s="27">
        <f t="shared" si="10"/>
        <v>20.429317440000002</v>
      </c>
      <c r="O46" s="27">
        <f t="shared" si="11"/>
        <v>150.02650870080001</v>
      </c>
      <c r="P46" s="27">
        <f t="shared" si="12"/>
        <v>6.0010603480320004</v>
      </c>
      <c r="Q46" s="28">
        <f t="shared" si="13"/>
        <v>156.02756904883202</v>
      </c>
      <c r="R46" s="30">
        <v>2173.66</v>
      </c>
      <c r="S46" s="27">
        <f t="shared" si="14"/>
        <v>7.1781037075178286E-2</v>
      </c>
      <c r="T46" s="27">
        <f t="shared" si="15"/>
        <v>7.1999999999999995E-2</v>
      </c>
      <c r="U46" s="27">
        <f t="shared" si="16"/>
        <v>8.7119999999999989E-2</v>
      </c>
    </row>
    <row r="47" spans="1:44">
      <c r="A47" s="65">
        <v>39</v>
      </c>
      <c r="B47" s="26" t="s">
        <v>227</v>
      </c>
      <c r="C47">
        <v>0.27632997368785489</v>
      </c>
      <c r="D47">
        <v>232.11717789779811</v>
      </c>
      <c r="E47">
        <v>23.211717789779811</v>
      </c>
      <c r="F47">
        <v>23.211717789779811</v>
      </c>
      <c r="G47">
        <v>278.54061347735774</v>
      </c>
      <c r="H47">
        <v>5.1251472879833821</v>
      </c>
      <c r="I47"/>
      <c r="J47">
        <v>1.9951024100263122</v>
      </c>
      <c r="K47">
        <v>45.030732512172833</v>
      </c>
      <c r="L47">
        <v>330.69159568754031</v>
      </c>
      <c r="M47">
        <v>13.227663827501614</v>
      </c>
      <c r="N47">
        <v>343.91925951504192</v>
      </c>
      <c r="O47">
        <v>2121.89</v>
      </c>
      <c r="P47">
        <v>0.16208156856153802</v>
      </c>
      <c r="Q47">
        <v>0.16200000000000001</v>
      </c>
      <c r="R47" s="30"/>
      <c r="S47" s="27"/>
      <c r="T47" s="27">
        <v>0.16200000000000001</v>
      </c>
      <c r="U47" s="27">
        <f t="shared" si="16"/>
        <v>0.19602</v>
      </c>
    </row>
    <row r="48" spans="1:44">
      <c r="A48" s="65">
        <v>40</v>
      </c>
      <c r="B48" s="26" t="s">
        <v>118</v>
      </c>
      <c r="C48" s="78">
        <v>11.09</v>
      </c>
      <c r="D48" s="27">
        <f t="shared" si="3"/>
        <v>1.4786666666666665E-3</v>
      </c>
      <c r="E48" s="28">
        <v>72.819999999999993</v>
      </c>
      <c r="F48" s="27">
        <f t="shared" si="1"/>
        <v>4.045555555555555E-2</v>
      </c>
      <c r="G48" s="27">
        <f t="shared" si="2"/>
        <v>4.193422222222222E-2</v>
      </c>
      <c r="H48" s="27">
        <f t="shared" si="4"/>
        <v>35.224746666666668</v>
      </c>
      <c r="I48" s="27">
        <f t="shared" si="5"/>
        <v>3.5224746666666671</v>
      </c>
      <c r="J48" s="27">
        <f t="shared" si="6"/>
        <v>3.5224746666666671</v>
      </c>
      <c r="K48" s="27">
        <f t="shared" si="7"/>
        <v>42.269696000000003</v>
      </c>
      <c r="L48" s="27">
        <f t="shared" si="8"/>
        <v>0.77776240640000005</v>
      </c>
      <c r="M48" s="27">
        <f t="shared" si="9"/>
        <v>0.30276508444444444</v>
      </c>
      <c r="N48" s="27">
        <f t="shared" si="10"/>
        <v>6.8336008533333334</v>
      </c>
      <c r="O48" s="27">
        <f t="shared" si="11"/>
        <v>50.183824344177779</v>
      </c>
      <c r="P48" s="27">
        <f t="shared" si="12"/>
        <v>2.0073529737671114</v>
      </c>
      <c r="Q48" s="28">
        <f t="shared" si="13"/>
        <v>52.191177317944891</v>
      </c>
      <c r="R48" s="30">
        <v>690.08</v>
      </c>
      <c r="S48" s="27">
        <f t="shared" si="14"/>
        <v>7.563061864993173E-2</v>
      </c>
      <c r="T48" s="27">
        <f t="shared" si="15"/>
        <v>7.5999999999999998E-2</v>
      </c>
      <c r="U48" s="27">
        <f t="shared" si="16"/>
        <v>9.196E-2</v>
      </c>
    </row>
    <row r="49" spans="1:44">
      <c r="A49" s="65">
        <v>41</v>
      </c>
      <c r="B49" s="26" t="s">
        <v>119</v>
      </c>
      <c r="C49" s="78">
        <v>10.37</v>
      </c>
      <c r="D49" s="27">
        <f t="shared" si="3"/>
        <v>1.3826666666666666E-3</v>
      </c>
      <c r="E49" s="28">
        <v>66.7</v>
      </c>
      <c r="F49" s="27">
        <f t="shared" si="1"/>
        <v>3.7055555555555557E-2</v>
      </c>
      <c r="G49" s="27">
        <f t="shared" si="2"/>
        <v>3.8438222222222221E-2</v>
      </c>
      <c r="H49" s="27">
        <f t="shared" si="4"/>
        <v>32.288106666666664</v>
      </c>
      <c r="I49" s="27">
        <f t="shared" si="5"/>
        <v>3.2288106666666665</v>
      </c>
      <c r="J49" s="27">
        <f t="shared" si="6"/>
        <v>3.2288106666666665</v>
      </c>
      <c r="K49" s="27">
        <f t="shared" si="7"/>
        <v>38.745728</v>
      </c>
      <c r="L49" s="27">
        <f t="shared" si="8"/>
        <v>0.71292139519999997</v>
      </c>
      <c r="M49" s="27">
        <f t="shared" si="9"/>
        <v>0.27752396444444444</v>
      </c>
      <c r="N49" s="27">
        <f t="shared" si="10"/>
        <v>6.2638926933333332</v>
      </c>
      <c r="O49" s="27">
        <f t="shared" si="11"/>
        <v>46.000066052977772</v>
      </c>
      <c r="P49" s="27">
        <f t="shared" si="12"/>
        <v>1.8400026421191109</v>
      </c>
      <c r="Q49" s="28">
        <f t="shared" si="13"/>
        <v>47.840068695096882</v>
      </c>
      <c r="R49" s="30">
        <v>671.29</v>
      </c>
      <c r="S49" s="27">
        <f t="shared" si="14"/>
        <v>7.1265874205033414E-2</v>
      </c>
      <c r="T49" s="27">
        <f t="shared" si="15"/>
        <v>7.0999999999999994E-2</v>
      </c>
      <c r="U49" s="27">
        <f t="shared" si="16"/>
        <v>8.5909999999999986E-2</v>
      </c>
    </row>
    <row r="50" spans="1:44">
      <c r="A50" s="65">
        <v>42</v>
      </c>
      <c r="B50" s="26" t="s">
        <v>120</v>
      </c>
      <c r="C50" s="78">
        <v>25.15</v>
      </c>
      <c r="D50" s="27">
        <f t="shared" si="3"/>
        <v>3.3533333333333332E-3</v>
      </c>
      <c r="E50" s="28">
        <v>262.72000000000003</v>
      </c>
      <c r="F50" s="27">
        <f t="shared" si="1"/>
        <v>0.14595555555555556</v>
      </c>
      <c r="G50" s="27">
        <f t="shared" si="2"/>
        <v>0.14930888888888888</v>
      </c>
      <c r="H50" s="27">
        <f t="shared" si="4"/>
        <v>125.41946666666666</v>
      </c>
      <c r="I50" s="27">
        <f t="shared" si="5"/>
        <v>12.541946666666668</v>
      </c>
      <c r="J50" s="27">
        <f t="shared" si="6"/>
        <v>12.541946666666668</v>
      </c>
      <c r="K50" s="27">
        <f t="shared" si="7"/>
        <v>150.50335999999999</v>
      </c>
      <c r="L50" s="27">
        <f t="shared" si="8"/>
        <v>2.7692618239999995</v>
      </c>
      <c r="M50" s="27">
        <f t="shared" si="9"/>
        <v>1.0780101777777777</v>
      </c>
      <c r="N50" s="27">
        <f t="shared" si="10"/>
        <v>24.331376533333334</v>
      </c>
      <c r="O50" s="27">
        <f t="shared" si="11"/>
        <v>178.68200853511109</v>
      </c>
      <c r="P50" s="27">
        <f t="shared" si="12"/>
        <v>7.1472803414044437</v>
      </c>
      <c r="Q50" s="28">
        <f t="shared" si="13"/>
        <v>185.82928887651553</v>
      </c>
      <c r="R50" s="30">
        <v>2700.95</v>
      </c>
      <c r="S50" s="27">
        <f t="shared" si="14"/>
        <v>6.8801454627636774E-2</v>
      </c>
      <c r="T50" s="27">
        <f t="shared" si="15"/>
        <v>6.9000000000000006E-2</v>
      </c>
      <c r="U50" s="27">
        <f t="shared" si="16"/>
        <v>8.3490000000000009E-2</v>
      </c>
    </row>
    <row r="51" spans="1:44">
      <c r="A51" s="65">
        <v>43</v>
      </c>
      <c r="B51" s="26" t="s">
        <v>121</v>
      </c>
      <c r="C51" s="78">
        <v>15</v>
      </c>
      <c r="D51" s="27">
        <f t="shared" si="3"/>
        <v>2E-3</v>
      </c>
      <c r="E51" s="28">
        <v>194.61</v>
      </c>
      <c r="F51" s="27">
        <f t="shared" si="1"/>
        <v>0.10811666666666668</v>
      </c>
      <c r="G51" s="27">
        <f t="shared" si="2"/>
        <v>0.11011666666666668</v>
      </c>
      <c r="H51" s="27">
        <f t="shared" si="4"/>
        <v>92.498000000000019</v>
      </c>
      <c r="I51" s="27">
        <f t="shared" si="5"/>
        <v>9.2498000000000022</v>
      </c>
      <c r="J51" s="27">
        <f t="shared" si="6"/>
        <v>9.2498000000000022</v>
      </c>
      <c r="K51" s="27">
        <f t="shared" si="7"/>
        <v>110.99760000000003</v>
      </c>
      <c r="L51" s="27">
        <f t="shared" si="8"/>
        <v>2.0423558400000008</v>
      </c>
      <c r="M51" s="27">
        <f t="shared" si="9"/>
        <v>0.79504233333333341</v>
      </c>
      <c r="N51" s="27">
        <f t="shared" si="10"/>
        <v>17.944612000000003</v>
      </c>
      <c r="O51" s="27">
        <f t="shared" si="11"/>
        <v>131.77961017333337</v>
      </c>
      <c r="P51" s="27">
        <f t="shared" si="12"/>
        <v>5.2711844069333349</v>
      </c>
      <c r="Q51" s="28">
        <f t="shared" si="13"/>
        <v>137.05079458026671</v>
      </c>
      <c r="R51" s="30">
        <v>2196.5</v>
      </c>
      <c r="S51" s="27">
        <f t="shared" si="14"/>
        <v>6.2395080619288279E-2</v>
      </c>
      <c r="T51" s="27">
        <f t="shared" si="15"/>
        <v>6.2E-2</v>
      </c>
      <c r="U51" s="27">
        <f t="shared" si="16"/>
        <v>7.5020000000000003E-2</v>
      </c>
    </row>
    <row r="52" spans="1:44">
      <c r="A52" s="65">
        <v>44</v>
      </c>
      <c r="B52" s="26" t="s">
        <v>122</v>
      </c>
      <c r="C52" s="82">
        <v>20</v>
      </c>
      <c r="D52" s="63">
        <f t="shared" si="3"/>
        <v>2.6666666666666666E-3</v>
      </c>
      <c r="E52" s="43">
        <v>132.80000000000001</v>
      </c>
      <c r="F52" s="14">
        <f t="shared" si="1"/>
        <v>7.3777777777777789E-2</v>
      </c>
      <c r="G52" s="27">
        <f t="shared" si="2"/>
        <v>7.6444444444444454E-2</v>
      </c>
      <c r="H52" s="27">
        <f t="shared" si="4"/>
        <v>64.213333333333338</v>
      </c>
      <c r="I52" s="27">
        <f t="shared" si="5"/>
        <v>6.421333333333334</v>
      </c>
      <c r="J52" s="27">
        <f t="shared" si="6"/>
        <v>6.421333333333334</v>
      </c>
      <c r="K52" s="27">
        <f t="shared" si="7"/>
        <v>77.056000000000012</v>
      </c>
      <c r="L52" s="27">
        <f t="shared" si="8"/>
        <v>1.4178304000000002</v>
      </c>
      <c r="M52" s="27">
        <f t="shared" si="9"/>
        <v>0.55192888888888891</v>
      </c>
      <c r="N52" s="27">
        <f t="shared" si="10"/>
        <v>12.457386666666668</v>
      </c>
      <c r="O52" s="27">
        <f t="shared" si="11"/>
        <v>91.483145955555571</v>
      </c>
      <c r="P52" s="27">
        <f t="shared" si="12"/>
        <v>3.6593258382222231</v>
      </c>
      <c r="Q52" s="28">
        <f t="shared" si="13"/>
        <v>95.142471793777787</v>
      </c>
      <c r="R52" s="43">
        <v>1369.14</v>
      </c>
      <c r="S52" s="27">
        <f t="shared" si="14"/>
        <v>6.9490681591201614E-2</v>
      </c>
      <c r="T52" s="27">
        <f t="shared" si="15"/>
        <v>6.9000000000000006E-2</v>
      </c>
      <c r="U52" s="27">
        <f t="shared" si="16"/>
        <v>8.3490000000000009E-2</v>
      </c>
    </row>
    <row r="53" spans="1:44">
      <c r="A53" s="65">
        <v>45</v>
      </c>
      <c r="B53" s="26" t="s">
        <v>123</v>
      </c>
      <c r="C53" s="78">
        <v>8</v>
      </c>
      <c r="D53" s="27">
        <f t="shared" si="3"/>
        <v>1.0666666666666667E-3</v>
      </c>
      <c r="E53" s="28">
        <v>79.900000000000006</v>
      </c>
      <c r="F53" s="27">
        <f t="shared" si="1"/>
        <v>4.4388888888888894E-2</v>
      </c>
      <c r="G53" s="27">
        <f t="shared" si="2"/>
        <v>4.5455555555555562E-2</v>
      </c>
      <c r="H53" s="27">
        <f t="shared" si="4"/>
        <v>38.18266666666667</v>
      </c>
      <c r="I53" s="27">
        <f t="shared" si="5"/>
        <v>3.8182666666666671</v>
      </c>
      <c r="J53" s="27">
        <f t="shared" si="6"/>
        <v>3.8182666666666671</v>
      </c>
      <c r="K53" s="27">
        <f t="shared" si="7"/>
        <v>45.819200000000002</v>
      </c>
      <c r="L53" s="27">
        <f t="shared" si="8"/>
        <v>0.84307328000000004</v>
      </c>
      <c r="M53" s="27">
        <f t="shared" si="9"/>
        <v>0.32818911111111115</v>
      </c>
      <c r="N53" s="27">
        <f t="shared" si="10"/>
        <v>7.4074373333333341</v>
      </c>
      <c r="O53" s="27">
        <f t="shared" si="11"/>
        <v>54.397899724444443</v>
      </c>
      <c r="P53" s="27">
        <f t="shared" si="12"/>
        <v>2.1759159889777777</v>
      </c>
      <c r="Q53" s="28">
        <f t="shared" si="13"/>
        <v>56.573815713422221</v>
      </c>
      <c r="R53" s="30">
        <v>726.73</v>
      </c>
      <c r="S53" s="27">
        <f t="shared" si="14"/>
        <v>7.7847089996865709E-2</v>
      </c>
      <c r="T53" s="27">
        <f t="shared" si="15"/>
        <v>7.8E-2</v>
      </c>
      <c r="U53" s="27">
        <f t="shared" si="16"/>
        <v>9.4379999999999992E-2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1:44" s="54" customFormat="1">
      <c r="A54" s="65">
        <v>46</v>
      </c>
      <c r="B54" s="26" t="s">
        <v>231</v>
      </c>
      <c r="C54" s="2">
        <v>6.3</v>
      </c>
      <c r="D54" s="27">
        <f>C54/7500</f>
        <v>8.3999999999999993E-4</v>
      </c>
      <c r="E54" s="67">
        <v>64.069999999999993</v>
      </c>
      <c r="F54" s="27">
        <f>E54/1800</f>
        <v>3.5594444444444442E-2</v>
      </c>
      <c r="G54" s="27">
        <f t="shared" si="2"/>
        <v>3.6434444444444443E-2</v>
      </c>
      <c r="H54" s="27">
        <f t="shared" si="4"/>
        <v>30.604933333333332</v>
      </c>
      <c r="I54" s="27">
        <f t="shared" si="5"/>
        <v>3.0604933333333335</v>
      </c>
      <c r="J54" s="27">
        <f t="shared" si="6"/>
        <v>3.0604933333333335</v>
      </c>
      <c r="K54" s="27">
        <f t="shared" si="7"/>
        <v>36.725919999999995</v>
      </c>
      <c r="L54" s="27">
        <f t="shared" si="8"/>
        <v>0.67575692799999987</v>
      </c>
      <c r="M54" s="27">
        <f t="shared" si="9"/>
        <v>0.26305668888888889</v>
      </c>
      <c r="N54" s="27">
        <f t="shared" si="10"/>
        <v>5.9373570666666664</v>
      </c>
      <c r="O54" s="27">
        <f t="shared" si="11"/>
        <v>43.602090683555545</v>
      </c>
      <c r="P54" s="27">
        <f t="shared" si="12"/>
        <v>1.7440836273422218</v>
      </c>
      <c r="Q54" s="28">
        <f t="shared" si="13"/>
        <v>45.346174310897766</v>
      </c>
      <c r="R54" s="30">
        <v>733.2</v>
      </c>
      <c r="S54" s="27">
        <f t="shared" si="14"/>
        <v>6.1846937139795097E-2</v>
      </c>
      <c r="T54" s="27">
        <f t="shared" si="15"/>
        <v>6.2E-2</v>
      </c>
      <c r="U54" s="27">
        <f t="shared" si="16"/>
        <v>7.5020000000000003E-2</v>
      </c>
    </row>
    <row r="55" spans="1:44" s="54" customFormat="1">
      <c r="A55" s="65">
        <v>47</v>
      </c>
      <c r="B55" s="26" t="s">
        <v>124</v>
      </c>
      <c r="C55" s="78">
        <v>10</v>
      </c>
      <c r="D55" s="27">
        <f>C55/7500</f>
        <v>1.3333333333333333E-3</v>
      </c>
      <c r="E55" s="68">
        <v>64.63</v>
      </c>
      <c r="F55" s="27">
        <f>E55/1800</f>
        <v>3.5905555555555552E-2</v>
      </c>
      <c r="G55" s="27">
        <f t="shared" si="2"/>
        <v>3.7238888888888884E-2</v>
      </c>
      <c r="H55" s="27">
        <f t="shared" si="4"/>
        <v>31.280666666666662</v>
      </c>
      <c r="I55" s="27">
        <f t="shared" si="5"/>
        <v>3.1280666666666663</v>
      </c>
      <c r="J55" s="27">
        <f t="shared" si="6"/>
        <v>3.1280666666666663</v>
      </c>
      <c r="K55" s="27">
        <f t="shared" si="7"/>
        <v>37.536799999999999</v>
      </c>
      <c r="L55" s="27">
        <f t="shared" si="8"/>
        <v>0.69067712000000003</v>
      </c>
      <c r="M55" s="27">
        <f t="shared" si="9"/>
        <v>0.26886477777777773</v>
      </c>
      <c r="N55" s="27">
        <f t="shared" si="10"/>
        <v>6.0684493333333327</v>
      </c>
      <c r="O55" s="27">
        <f t="shared" si="11"/>
        <v>44.564791231111109</v>
      </c>
      <c r="P55" s="27">
        <f t="shared" si="12"/>
        <v>1.7825916492444445</v>
      </c>
      <c r="Q55" s="28">
        <f t="shared" si="13"/>
        <v>46.347382880355553</v>
      </c>
      <c r="R55" s="30">
        <v>691.19</v>
      </c>
      <c r="S55" s="27">
        <f t="shared" si="14"/>
        <v>6.7054475441420666E-2</v>
      </c>
      <c r="T55" s="27">
        <f t="shared" si="15"/>
        <v>6.7000000000000004E-2</v>
      </c>
      <c r="U55" s="27">
        <f t="shared" si="16"/>
        <v>8.1070000000000003E-2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>
      <c r="A56" s="65">
        <v>48</v>
      </c>
      <c r="B56" s="26" t="s">
        <v>125</v>
      </c>
      <c r="C56" s="78">
        <v>24</v>
      </c>
      <c r="D56" s="27">
        <f t="shared" si="3"/>
        <v>3.2000000000000002E-3</v>
      </c>
      <c r="E56" s="28">
        <v>130.32</v>
      </c>
      <c r="F56" s="27">
        <f t="shared" si="1"/>
        <v>7.2399999999999992E-2</v>
      </c>
      <c r="G56" s="27">
        <f t="shared" si="2"/>
        <v>7.5599999999999987E-2</v>
      </c>
      <c r="H56" s="27">
        <f t="shared" si="4"/>
        <v>63.503999999999991</v>
      </c>
      <c r="I56" s="27">
        <f t="shared" si="5"/>
        <v>6.3503999999999996</v>
      </c>
      <c r="J56" s="27">
        <f t="shared" si="6"/>
        <v>6.3503999999999996</v>
      </c>
      <c r="K56" s="27">
        <f t="shared" si="7"/>
        <v>76.204799999999977</v>
      </c>
      <c r="L56" s="27">
        <f t="shared" si="8"/>
        <v>1.4021683199999995</v>
      </c>
      <c r="M56" s="27">
        <f t="shared" si="9"/>
        <v>0.54583199999999987</v>
      </c>
      <c r="N56" s="27">
        <f t="shared" si="10"/>
        <v>12.319775999999999</v>
      </c>
      <c r="O56" s="27">
        <f t="shared" si="11"/>
        <v>90.472576319999988</v>
      </c>
      <c r="P56" s="27">
        <f t="shared" si="12"/>
        <v>3.6189030527999995</v>
      </c>
      <c r="Q56" s="28">
        <f t="shared" si="13"/>
        <v>94.091479372799981</v>
      </c>
      <c r="R56" s="30">
        <v>1368.4</v>
      </c>
      <c r="S56" s="27">
        <f t="shared" si="14"/>
        <v>6.8760215852674639E-2</v>
      </c>
      <c r="T56" s="27">
        <f t="shared" si="15"/>
        <v>6.9000000000000006E-2</v>
      </c>
      <c r="U56" s="27">
        <f t="shared" si="16"/>
        <v>8.3490000000000009E-2</v>
      </c>
    </row>
    <row r="57" spans="1:44">
      <c r="A57" s="65">
        <v>49</v>
      </c>
      <c r="B57" s="26" t="s">
        <v>126</v>
      </c>
      <c r="C57" s="80">
        <v>7</v>
      </c>
      <c r="D57" s="27">
        <f t="shared" si="3"/>
        <v>9.3333333333333332E-4</v>
      </c>
      <c r="E57" s="30">
        <v>64.77</v>
      </c>
      <c r="F57" s="27">
        <f t="shared" si="1"/>
        <v>3.5983333333333332E-2</v>
      </c>
      <c r="G57" s="27">
        <f t="shared" si="2"/>
        <v>3.6916666666666667E-2</v>
      </c>
      <c r="H57" s="27">
        <f t="shared" si="4"/>
        <v>31.01</v>
      </c>
      <c r="I57" s="27">
        <f t="shared" si="5"/>
        <v>3.1010000000000004</v>
      </c>
      <c r="J57" s="27">
        <f t="shared" si="6"/>
        <v>3.1010000000000004</v>
      </c>
      <c r="K57" s="27">
        <f t="shared" si="7"/>
        <v>37.212000000000003</v>
      </c>
      <c r="L57" s="27">
        <f t="shared" si="8"/>
        <v>0.6847008</v>
      </c>
      <c r="M57" s="27">
        <f t="shared" si="9"/>
        <v>0.26653833333333332</v>
      </c>
      <c r="N57" s="27">
        <f t="shared" si="10"/>
        <v>6.0159400000000005</v>
      </c>
      <c r="O57" s="27">
        <f t="shared" si="11"/>
        <v>44.179179133333342</v>
      </c>
      <c r="P57" s="27">
        <f t="shared" si="12"/>
        <v>1.7671671653333336</v>
      </c>
      <c r="Q57" s="28">
        <f t="shared" si="13"/>
        <v>45.946346298666676</v>
      </c>
      <c r="R57" s="30">
        <v>675.6</v>
      </c>
      <c r="S57" s="27">
        <f t="shared" si="14"/>
        <v>6.8008209441484127E-2</v>
      </c>
      <c r="T57" s="27">
        <f t="shared" si="15"/>
        <v>6.8000000000000005E-2</v>
      </c>
      <c r="U57" s="27">
        <f t="shared" si="16"/>
        <v>8.2280000000000006E-2</v>
      </c>
    </row>
    <row r="58" spans="1:44">
      <c r="A58" s="65">
        <v>50</v>
      </c>
      <c r="B58" s="26" t="s">
        <v>127</v>
      </c>
      <c r="C58" s="78">
        <f>11+5.5</f>
        <v>16.5</v>
      </c>
      <c r="D58" s="27">
        <f>C58/7500</f>
        <v>2.2000000000000001E-3</v>
      </c>
      <c r="E58" s="28">
        <f>130.5+65.25</f>
        <v>195.75</v>
      </c>
      <c r="F58" s="27">
        <f t="shared" si="1"/>
        <v>0.10875</v>
      </c>
      <c r="G58" s="27">
        <f t="shared" si="2"/>
        <v>0.11094999999999999</v>
      </c>
      <c r="H58" s="27">
        <f t="shared" si="4"/>
        <v>93.197999999999993</v>
      </c>
      <c r="I58" s="27">
        <f t="shared" si="5"/>
        <v>9.319799999999999</v>
      </c>
      <c r="J58" s="27">
        <f t="shared" si="6"/>
        <v>9.319799999999999</v>
      </c>
      <c r="K58" s="27">
        <f t="shared" si="7"/>
        <v>111.83759999999999</v>
      </c>
      <c r="L58" s="27">
        <f t="shared" si="8"/>
        <v>2.0578118399999998</v>
      </c>
      <c r="M58" s="27">
        <f t="shared" si="9"/>
        <v>0.80105899999999997</v>
      </c>
      <c r="N58" s="27">
        <f t="shared" si="10"/>
        <v>18.080411999999999</v>
      </c>
      <c r="O58" s="27">
        <f t="shared" si="11"/>
        <v>132.77688283999998</v>
      </c>
      <c r="P58" s="27">
        <f t="shared" si="12"/>
        <v>5.3110753135999991</v>
      </c>
      <c r="Q58" s="28">
        <f t="shared" si="13"/>
        <v>138.08795815359997</v>
      </c>
      <c r="R58" s="30">
        <f>1467.52+731.12</f>
        <v>2198.64</v>
      </c>
      <c r="S58" s="27">
        <f t="shared" si="14"/>
        <v>6.280607928246551E-2</v>
      </c>
      <c r="T58" s="27">
        <f t="shared" si="15"/>
        <v>6.3E-2</v>
      </c>
      <c r="U58" s="27">
        <f t="shared" si="16"/>
        <v>7.6229999999999992E-2</v>
      </c>
    </row>
    <row r="59" spans="1:44">
      <c r="A59" s="65">
        <v>51</v>
      </c>
      <c r="B59" s="26" t="s">
        <v>128</v>
      </c>
      <c r="C59" s="78">
        <v>8</v>
      </c>
      <c r="D59" s="27">
        <f>C59/7500</f>
        <v>1.0666666666666667E-3</v>
      </c>
      <c r="E59" s="28">
        <v>63.82</v>
      </c>
      <c r="F59" s="27">
        <f t="shared" si="1"/>
        <v>3.5455555555555553E-2</v>
      </c>
      <c r="G59" s="27">
        <f t="shared" si="2"/>
        <v>3.652222222222222E-2</v>
      </c>
      <c r="H59" s="27">
        <f t="shared" si="4"/>
        <v>30.678666666666665</v>
      </c>
      <c r="I59" s="27">
        <f t="shared" si="5"/>
        <v>3.0678666666666667</v>
      </c>
      <c r="J59" s="27">
        <f t="shared" si="6"/>
        <v>3.0678666666666667</v>
      </c>
      <c r="K59" s="27">
        <f t="shared" si="7"/>
        <v>36.814399999999999</v>
      </c>
      <c r="L59" s="27">
        <f t="shared" si="8"/>
        <v>0.67738495999999992</v>
      </c>
      <c r="M59" s="27">
        <f t="shared" si="9"/>
        <v>0.26369044444444439</v>
      </c>
      <c r="N59" s="27">
        <f t="shared" si="10"/>
        <v>5.951661333333333</v>
      </c>
      <c r="O59" s="27">
        <f t="shared" si="11"/>
        <v>43.707136737777773</v>
      </c>
      <c r="P59" s="27">
        <f t="shared" si="12"/>
        <v>1.748285469511111</v>
      </c>
      <c r="Q59" s="28">
        <f t="shared" si="13"/>
        <v>45.455422207288883</v>
      </c>
      <c r="R59" s="30">
        <v>686.04</v>
      </c>
      <c r="S59" s="27">
        <f t="shared" si="14"/>
        <v>6.625768498526162E-2</v>
      </c>
      <c r="T59" s="27">
        <f t="shared" si="15"/>
        <v>6.6000000000000003E-2</v>
      </c>
      <c r="U59" s="27">
        <f t="shared" si="16"/>
        <v>7.986E-2</v>
      </c>
    </row>
    <row r="60" spans="1:44">
      <c r="A60" s="65">
        <v>52</v>
      </c>
      <c r="B60" s="26" t="s">
        <v>129</v>
      </c>
      <c r="C60" s="78">
        <v>7</v>
      </c>
      <c r="D60" s="27">
        <f>C60/7500</f>
        <v>9.3333333333333332E-4</v>
      </c>
      <c r="E60" s="28">
        <v>64.69</v>
      </c>
      <c r="F60" s="27">
        <f t="shared" si="1"/>
        <v>3.5938888888888888E-2</v>
      </c>
      <c r="G60" s="27">
        <f t="shared" si="2"/>
        <v>3.6872222222222223E-2</v>
      </c>
      <c r="H60" s="27">
        <f t="shared" si="4"/>
        <v>30.972666666666669</v>
      </c>
      <c r="I60" s="27">
        <f t="shared" si="5"/>
        <v>3.0972666666666671</v>
      </c>
      <c r="J60" s="27">
        <f t="shared" si="6"/>
        <v>3.0972666666666671</v>
      </c>
      <c r="K60" s="27">
        <f t="shared" si="7"/>
        <v>37.167200000000008</v>
      </c>
      <c r="L60" s="27">
        <f t="shared" si="8"/>
        <v>0.68387648000000012</v>
      </c>
      <c r="M60" s="27">
        <f t="shared" si="9"/>
        <v>0.26621744444444445</v>
      </c>
      <c r="N60" s="27">
        <f t="shared" si="10"/>
        <v>6.008697333333334</v>
      </c>
      <c r="O60" s="27">
        <f t="shared" si="11"/>
        <v>44.125991257777784</v>
      </c>
      <c r="P60" s="27">
        <f t="shared" si="12"/>
        <v>1.7650396503111114</v>
      </c>
      <c r="Q60" s="28">
        <f t="shared" si="13"/>
        <v>45.891030908088894</v>
      </c>
      <c r="R60" s="30">
        <v>684.24</v>
      </c>
      <c r="S60" s="27">
        <f t="shared" si="14"/>
        <v>6.7068617602140904E-2</v>
      </c>
      <c r="T60" s="27">
        <f t="shared" si="15"/>
        <v>6.7000000000000004E-2</v>
      </c>
      <c r="U60" s="27">
        <f t="shared" si="16"/>
        <v>8.1070000000000003E-2</v>
      </c>
    </row>
    <row r="61" spans="1:44">
      <c r="A61" s="65">
        <v>53</v>
      </c>
      <c r="B61" s="26" t="s">
        <v>130</v>
      </c>
      <c r="C61" s="78">
        <v>32</v>
      </c>
      <c r="D61" s="27">
        <f t="shared" si="3"/>
        <v>4.2666666666666669E-3</v>
      </c>
      <c r="E61" s="28">
        <v>255.78</v>
      </c>
      <c r="F61" s="27">
        <f t="shared" si="1"/>
        <v>0.1421</v>
      </c>
      <c r="G61" s="27">
        <f t="shared" si="2"/>
        <v>0.14636666666666667</v>
      </c>
      <c r="H61" s="27">
        <f t="shared" si="4"/>
        <v>122.94800000000001</v>
      </c>
      <c r="I61" s="27">
        <f t="shared" si="5"/>
        <v>12.294800000000002</v>
      </c>
      <c r="J61" s="27">
        <f t="shared" si="6"/>
        <v>12.294800000000002</v>
      </c>
      <c r="K61" s="27">
        <f t="shared" si="7"/>
        <v>147.53760000000003</v>
      </c>
      <c r="L61" s="27">
        <f t="shared" si="8"/>
        <v>2.7146918400000004</v>
      </c>
      <c r="M61" s="27">
        <f t="shared" si="9"/>
        <v>1.0567673333333334</v>
      </c>
      <c r="N61" s="27">
        <f t="shared" si="10"/>
        <v>23.851912000000002</v>
      </c>
      <c r="O61" s="27">
        <f t="shared" si="11"/>
        <v>175.16097117333337</v>
      </c>
      <c r="P61" s="27">
        <f t="shared" si="12"/>
        <v>7.0064388469333352</v>
      </c>
      <c r="Q61" s="28">
        <f t="shared" si="13"/>
        <v>182.16741002026669</v>
      </c>
      <c r="R61" s="31">
        <v>2667.49</v>
      </c>
      <c r="S61" s="27">
        <f t="shared" si="14"/>
        <v>6.8291693697171016E-2</v>
      </c>
      <c r="T61" s="27">
        <f t="shared" si="15"/>
        <v>6.8000000000000005E-2</v>
      </c>
      <c r="U61" s="27">
        <f t="shared" si="16"/>
        <v>8.2280000000000006E-2</v>
      </c>
    </row>
    <row r="62" spans="1:44">
      <c r="A62" s="65">
        <v>54</v>
      </c>
      <c r="B62" s="26" t="s">
        <v>131</v>
      </c>
      <c r="C62" s="78">
        <v>7</v>
      </c>
      <c r="D62" s="27">
        <f t="shared" si="3"/>
        <v>9.3333333333333332E-4</v>
      </c>
      <c r="E62" s="28">
        <v>88.63</v>
      </c>
      <c r="F62" s="27">
        <f t="shared" si="1"/>
        <v>4.9238888888888888E-2</v>
      </c>
      <c r="G62" s="27">
        <f t="shared" si="2"/>
        <v>5.0172222222222222E-2</v>
      </c>
      <c r="H62" s="27">
        <f t="shared" si="4"/>
        <v>42.144666666666666</v>
      </c>
      <c r="I62" s="27">
        <f t="shared" si="5"/>
        <v>4.2144666666666666</v>
      </c>
      <c r="J62" s="27">
        <f t="shared" si="6"/>
        <v>4.2144666666666666</v>
      </c>
      <c r="K62" s="27">
        <f t="shared" si="7"/>
        <v>50.573599999999999</v>
      </c>
      <c r="L62" s="27">
        <f t="shared" si="8"/>
        <v>0.93055423999999998</v>
      </c>
      <c r="M62" s="27">
        <f t="shared" si="9"/>
        <v>0.36224344444444445</v>
      </c>
      <c r="N62" s="27">
        <f t="shared" si="10"/>
        <v>8.1760653333333337</v>
      </c>
      <c r="O62" s="27">
        <f t="shared" si="11"/>
        <v>60.042463017777777</v>
      </c>
      <c r="P62" s="27">
        <f t="shared" si="12"/>
        <v>2.4016985207111112</v>
      </c>
      <c r="Q62" s="28">
        <f t="shared" si="13"/>
        <v>62.444161538488885</v>
      </c>
      <c r="R62" s="30">
        <v>723.92</v>
      </c>
      <c r="S62" s="27">
        <f t="shared" si="14"/>
        <v>8.6258373215947745E-2</v>
      </c>
      <c r="T62" s="27">
        <f t="shared" si="15"/>
        <v>8.5999999999999993E-2</v>
      </c>
      <c r="U62" s="27">
        <f t="shared" si="16"/>
        <v>0.10405999999999999</v>
      </c>
    </row>
    <row r="63" spans="1:44">
      <c r="A63" s="65">
        <v>55</v>
      </c>
      <c r="B63" s="26" t="s">
        <v>132</v>
      </c>
      <c r="C63" s="78">
        <v>8</v>
      </c>
      <c r="D63" s="27">
        <f t="shared" si="3"/>
        <v>1.0666666666666667E-3</v>
      </c>
      <c r="E63" s="28">
        <v>83.12</v>
      </c>
      <c r="F63" s="27">
        <f t="shared" si="1"/>
        <v>4.6177777777777783E-2</v>
      </c>
      <c r="G63" s="27">
        <f t="shared" si="2"/>
        <v>4.724444444444445E-2</v>
      </c>
      <c r="H63" s="27">
        <f t="shared" si="4"/>
        <v>39.68533333333334</v>
      </c>
      <c r="I63" s="27">
        <f t="shared" si="5"/>
        <v>3.9685333333333341</v>
      </c>
      <c r="J63" s="27">
        <f t="shared" si="6"/>
        <v>3.9685333333333341</v>
      </c>
      <c r="K63" s="27">
        <f t="shared" si="7"/>
        <v>47.622400000000006</v>
      </c>
      <c r="L63" s="27">
        <f t="shared" si="8"/>
        <v>0.87625216000000006</v>
      </c>
      <c r="M63" s="27">
        <f t="shared" si="9"/>
        <v>0.3411048888888889</v>
      </c>
      <c r="N63" s="27">
        <f t="shared" si="10"/>
        <v>7.6989546666666682</v>
      </c>
      <c r="O63" s="27">
        <f t="shared" si="11"/>
        <v>56.538711715555557</v>
      </c>
      <c r="P63" s="27">
        <f t="shared" si="12"/>
        <v>2.2615484686222223</v>
      </c>
      <c r="Q63" s="28">
        <f t="shared" si="13"/>
        <v>58.80026018417778</v>
      </c>
      <c r="R63" s="30">
        <v>759.06</v>
      </c>
      <c r="S63" s="27">
        <f t="shared" si="14"/>
        <v>7.7464574848072329E-2</v>
      </c>
      <c r="T63" s="27">
        <f t="shared" si="15"/>
        <v>7.6999999999999999E-2</v>
      </c>
      <c r="U63" s="27">
        <f t="shared" si="16"/>
        <v>9.3170000000000003E-2</v>
      </c>
    </row>
    <row r="64" spans="1:44">
      <c r="A64" s="65">
        <v>56</v>
      </c>
      <c r="B64" s="26" t="s">
        <v>133</v>
      </c>
      <c r="C64" s="78">
        <v>9</v>
      </c>
      <c r="D64" s="27">
        <f t="shared" si="3"/>
        <v>1.1999999999999999E-3</v>
      </c>
      <c r="E64" s="28">
        <v>63.92</v>
      </c>
      <c r="F64" s="27">
        <f t="shared" si="1"/>
        <v>3.5511111111111111E-2</v>
      </c>
      <c r="G64" s="27">
        <f t="shared" si="2"/>
        <v>3.6711111111111111E-2</v>
      </c>
      <c r="H64" s="27">
        <f t="shared" si="4"/>
        <v>30.837333333333333</v>
      </c>
      <c r="I64" s="27">
        <f t="shared" si="5"/>
        <v>3.0837333333333334</v>
      </c>
      <c r="J64" s="27">
        <f t="shared" si="6"/>
        <v>3.0837333333333334</v>
      </c>
      <c r="K64" s="27">
        <f t="shared" si="7"/>
        <v>37.004800000000003</v>
      </c>
      <c r="L64" s="27">
        <f t="shared" si="8"/>
        <v>0.68088831999999999</v>
      </c>
      <c r="M64" s="27">
        <f t="shared" si="9"/>
        <v>0.26505422222222219</v>
      </c>
      <c r="N64" s="27">
        <f t="shared" si="10"/>
        <v>5.9824426666666666</v>
      </c>
      <c r="O64" s="27">
        <f t="shared" si="11"/>
        <v>43.933185208888894</v>
      </c>
      <c r="P64" s="27">
        <f t="shared" si="12"/>
        <v>1.7573274083555557</v>
      </c>
      <c r="Q64" s="28">
        <f t="shared" si="13"/>
        <v>45.690512617244451</v>
      </c>
      <c r="R64" s="30">
        <v>675.05</v>
      </c>
      <c r="S64" s="27">
        <f t="shared" si="14"/>
        <v>6.7684634645203245E-2</v>
      </c>
      <c r="T64" s="27">
        <f t="shared" si="15"/>
        <v>6.8000000000000005E-2</v>
      </c>
      <c r="U64" s="27">
        <f t="shared" si="16"/>
        <v>8.2280000000000006E-2</v>
      </c>
    </row>
    <row r="65" spans="1:44">
      <c r="A65" s="65">
        <v>57</v>
      </c>
      <c r="B65" s="26" t="s">
        <v>134</v>
      </c>
      <c r="C65" s="78">
        <v>26</v>
      </c>
      <c r="D65" s="27">
        <f>C65/7500</f>
        <v>3.4666666666666665E-3</v>
      </c>
      <c r="E65" s="28">
        <v>315.19</v>
      </c>
      <c r="F65" s="27">
        <f t="shared" si="1"/>
        <v>0.17510555555555554</v>
      </c>
      <c r="G65" s="27">
        <f t="shared" si="2"/>
        <v>0.17857222222222222</v>
      </c>
      <c r="H65" s="27">
        <f t="shared" si="4"/>
        <v>150.00066666666666</v>
      </c>
      <c r="I65" s="27">
        <f t="shared" si="5"/>
        <v>15.000066666666667</v>
      </c>
      <c r="J65" s="27">
        <f t="shared" si="6"/>
        <v>15.000066666666667</v>
      </c>
      <c r="K65" s="27">
        <f t="shared" si="7"/>
        <v>180.0008</v>
      </c>
      <c r="L65" s="27">
        <f t="shared" si="8"/>
        <v>3.3120147200000001</v>
      </c>
      <c r="M65" s="27">
        <f t="shared" si="9"/>
        <v>1.2892914444444443</v>
      </c>
      <c r="N65" s="27">
        <f t="shared" si="10"/>
        <v>29.100129333333332</v>
      </c>
      <c r="O65" s="27">
        <f t="shared" si="11"/>
        <v>213.70223549777779</v>
      </c>
      <c r="P65" s="27">
        <f t="shared" si="12"/>
        <v>8.5480894199111113</v>
      </c>
      <c r="Q65" s="28">
        <f t="shared" si="13"/>
        <v>222.25032491768891</v>
      </c>
      <c r="R65" s="30">
        <v>3552.21</v>
      </c>
      <c r="S65" s="27">
        <f t="shared" si="14"/>
        <v>6.2566775308241604E-2</v>
      </c>
      <c r="T65" s="27">
        <f t="shared" si="15"/>
        <v>6.3E-2</v>
      </c>
      <c r="U65" s="27">
        <f t="shared" si="16"/>
        <v>7.6229999999999992E-2</v>
      </c>
    </row>
    <row r="66" spans="1:44">
      <c r="A66" s="65">
        <v>58</v>
      </c>
      <c r="B66" s="26" t="s">
        <v>135</v>
      </c>
      <c r="C66" s="78">
        <v>4.03</v>
      </c>
      <c r="D66" s="27">
        <f>C66/7500</f>
        <v>5.3733333333333335E-4</v>
      </c>
      <c r="E66" s="28">
        <v>64.2</v>
      </c>
      <c r="F66" s="27">
        <f t="shared" si="1"/>
        <v>3.5666666666666666E-2</v>
      </c>
      <c r="G66" s="27">
        <f t="shared" si="2"/>
        <v>3.6204E-2</v>
      </c>
      <c r="H66" s="27">
        <f t="shared" si="4"/>
        <v>30.411359999999998</v>
      </c>
      <c r="I66" s="27">
        <f t="shared" si="5"/>
        <v>3.0411359999999998</v>
      </c>
      <c r="J66" s="27">
        <f t="shared" si="6"/>
        <v>3.0411359999999998</v>
      </c>
      <c r="K66" s="27">
        <f t="shared" si="7"/>
        <v>36.493631999999998</v>
      </c>
      <c r="L66" s="27">
        <f t="shared" si="8"/>
        <v>0.67148282879999999</v>
      </c>
      <c r="M66" s="27">
        <f t="shared" si="9"/>
        <v>0.26139287999999999</v>
      </c>
      <c r="N66" s="27">
        <f t="shared" si="10"/>
        <v>5.8998038399999997</v>
      </c>
      <c r="O66" s="27">
        <f t="shared" si="11"/>
        <v>43.3263115488</v>
      </c>
      <c r="P66" s="27">
        <f t="shared" si="12"/>
        <v>1.733052461952</v>
      </c>
      <c r="Q66" s="28">
        <f t="shared" si="13"/>
        <v>45.059364010751999</v>
      </c>
      <c r="R66" s="30">
        <v>728.57</v>
      </c>
      <c r="S66" s="27">
        <f t="shared" si="14"/>
        <v>6.1846307164379534E-2</v>
      </c>
      <c r="T66" s="27">
        <f t="shared" si="15"/>
        <v>6.2E-2</v>
      </c>
      <c r="U66" s="27">
        <f t="shared" si="16"/>
        <v>7.5020000000000003E-2</v>
      </c>
    </row>
    <row r="67" spans="1:44">
      <c r="A67" s="65">
        <v>59</v>
      </c>
      <c r="B67" s="26" t="s">
        <v>136</v>
      </c>
      <c r="C67" s="78">
        <v>32</v>
      </c>
      <c r="D67" s="27">
        <f>C67/7500</f>
        <v>4.2666666666666669E-3</v>
      </c>
      <c r="E67" s="69">
        <v>255.46</v>
      </c>
      <c r="F67" s="27">
        <f t="shared" si="1"/>
        <v>0.14192222222222223</v>
      </c>
      <c r="G67" s="27">
        <f t="shared" si="2"/>
        <v>0.1461888888888889</v>
      </c>
      <c r="H67" s="27">
        <f t="shared" si="4"/>
        <v>122.79866666666668</v>
      </c>
      <c r="I67" s="27">
        <f t="shared" si="5"/>
        <v>12.279866666666669</v>
      </c>
      <c r="J67" s="27">
        <f t="shared" si="6"/>
        <v>12.279866666666669</v>
      </c>
      <c r="K67" s="27">
        <f t="shared" si="7"/>
        <v>147.35840000000002</v>
      </c>
      <c r="L67" s="27">
        <f t="shared" si="8"/>
        <v>2.7113945600000005</v>
      </c>
      <c r="M67" s="27">
        <f t="shared" si="9"/>
        <v>1.0554837777777777</v>
      </c>
      <c r="N67" s="27">
        <f t="shared" si="10"/>
        <v>23.822941333333336</v>
      </c>
      <c r="O67" s="27">
        <f t="shared" si="11"/>
        <v>174.94821967111113</v>
      </c>
      <c r="P67" s="27">
        <f t="shared" si="12"/>
        <v>6.9979287868444455</v>
      </c>
      <c r="Q67" s="28">
        <f t="shared" si="13"/>
        <v>181.94614845795559</v>
      </c>
      <c r="R67" s="30">
        <v>2741.94</v>
      </c>
      <c r="S67" s="27">
        <f t="shared" si="14"/>
        <v>6.6356721320654566E-2</v>
      </c>
      <c r="T67" s="27">
        <f t="shared" si="15"/>
        <v>6.6000000000000003E-2</v>
      </c>
      <c r="U67" s="27">
        <f t="shared" si="16"/>
        <v>7.986E-2</v>
      </c>
    </row>
    <row r="68" spans="1:44">
      <c r="A68" s="65">
        <v>60</v>
      </c>
      <c r="B68" s="26" t="s">
        <v>137</v>
      </c>
      <c r="C68" s="78">
        <v>7</v>
      </c>
      <c r="D68" s="27">
        <f t="shared" si="3"/>
        <v>9.3333333333333332E-4</v>
      </c>
      <c r="E68" s="28">
        <v>85.34</v>
      </c>
      <c r="F68" s="27">
        <f t="shared" si="1"/>
        <v>4.7411111111111112E-2</v>
      </c>
      <c r="G68" s="27">
        <f t="shared" si="2"/>
        <v>4.8344444444444447E-2</v>
      </c>
      <c r="H68" s="27">
        <f t="shared" si="4"/>
        <v>40.609333333333332</v>
      </c>
      <c r="I68" s="27">
        <f t="shared" si="5"/>
        <v>4.0609333333333337</v>
      </c>
      <c r="J68" s="27">
        <f t="shared" si="6"/>
        <v>4.0609333333333337</v>
      </c>
      <c r="K68" s="27">
        <f t="shared" si="7"/>
        <v>48.731199999999994</v>
      </c>
      <c r="L68" s="27">
        <f t="shared" si="8"/>
        <v>0.89665407999999991</v>
      </c>
      <c r="M68" s="27">
        <f t="shared" si="9"/>
        <v>0.34904688888888891</v>
      </c>
      <c r="N68" s="27">
        <f t="shared" si="10"/>
        <v>7.8782106666666669</v>
      </c>
      <c r="O68" s="27">
        <f t="shared" si="11"/>
        <v>57.855111635555545</v>
      </c>
      <c r="P68" s="27">
        <f t="shared" si="12"/>
        <v>2.3142044654222218</v>
      </c>
      <c r="Q68" s="28">
        <f t="shared" si="13"/>
        <v>60.169316100977767</v>
      </c>
      <c r="R68" s="30">
        <v>711.19</v>
      </c>
      <c r="S68" s="27">
        <f t="shared" si="14"/>
        <v>8.4603715042362471E-2</v>
      </c>
      <c r="T68" s="27">
        <f t="shared" si="15"/>
        <v>8.5000000000000006E-2</v>
      </c>
      <c r="U68" s="27">
        <f t="shared" si="16"/>
        <v>0.10285000000000001</v>
      </c>
    </row>
    <row r="69" spans="1:44">
      <c r="A69" s="65">
        <v>61</v>
      </c>
      <c r="B69" s="26" t="s">
        <v>138</v>
      </c>
      <c r="C69" s="78">
        <v>5</v>
      </c>
      <c r="D69" s="27">
        <f t="shared" si="3"/>
        <v>6.6666666666666664E-4</v>
      </c>
      <c r="E69" s="28">
        <v>67.260000000000005</v>
      </c>
      <c r="F69" s="27">
        <f t="shared" si="1"/>
        <v>3.7366666666666666E-2</v>
      </c>
      <c r="G69" s="27">
        <f t="shared" si="2"/>
        <v>3.8033333333333336E-2</v>
      </c>
      <c r="H69" s="27">
        <f t="shared" si="4"/>
        <v>31.948</v>
      </c>
      <c r="I69" s="27">
        <f t="shared" si="5"/>
        <v>3.1948000000000003</v>
      </c>
      <c r="J69" s="27">
        <f t="shared" si="6"/>
        <v>3.1948000000000003</v>
      </c>
      <c r="K69" s="27">
        <f t="shared" si="7"/>
        <v>38.337600000000002</v>
      </c>
      <c r="L69" s="27">
        <f t="shared" si="8"/>
        <v>0.70541184000000001</v>
      </c>
      <c r="M69" s="27">
        <f t="shared" si="9"/>
        <v>0.27460066666666666</v>
      </c>
      <c r="N69" s="27">
        <f t="shared" si="10"/>
        <v>6.1979120000000005</v>
      </c>
      <c r="O69" s="27">
        <f t="shared" si="11"/>
        <v>45.515524506666672</v>
      </c>
      <c r="P69" s="27">
        <f t="shared" si="12"/>
        <v>1.8206209802666669</v>
      </c>
      <c r="Q69" s="28">
        <f t="shared" si="13"/>
        <v>47.33614548693334</v>
      </c>
      <c r="R69" s="30">
        <v>549.55999999999995</v>
      </c>
      <c r="S69" s="27">
        <f t="shared" si="14"/>
        <v>8.6134626768566383E-2</v>
      </c>
      <c r="T69" s="27">
        <f t="shared" si="15"/>
        <v>8.5999999999999993E-2</v>
      </c>
      <c r="U69" s="27">
        <f t="shared" si="16"/>
        <v>0.10405999999999999</v>
      </c>
    </row>
    <row r="70" spans="1:44" ht="15.75">
      <c r="A70" s="65">
        <v>62</v>
      </c>
      <c r="B70" s="26" t="s">
        <v>139</v>
      </c>
      <c r="C70" s="78">
        <v>36</v>
      </c>
      <c r="D70" s="27">
        <f t="shared" si="3"/>
        <v>4.7999999999999996E-3</v>
      </c>
      <c r="E70" s="28">
        <v>280.52999999999997</v>
      </c>
      <c r="F70" s="27">
        <f t="shared" si="1"/>
        <v>0.15584999999999999</v>
      </c>
      <c r="G70" s="27">
        <f t="shared" si="2"/>
        <v>0.16064999999999999</v>
      </c>
      <c r="H70" s="27">
        <f t="shared" si="4"/>
        <v>134.946</v>
      </c>
      <c r="I70" s="27">
        <f t="shared" si="5"/>
        <v>13.4946</v>
      </c>
      <c r="J70" s="27">
        <f t="shared" si="6"/>
        <v>13.4946</v>
      </c>
      <c r="K70" s="27">
        <f t="shared" si="7"/>
        <v>161.93519999999998</v>
      </c>
      <c r="L70" s="27">
        <f t="shared" si="8"/>
        <v>2.9796076799999995</v>
      </c>
      <c r="M70" s="27">
        <f t="shared" si="9"/>
        <v>1.1598929999999998</v>
      </c>
      <c r="N70" s="27">
        <f t="shared" si="10"/>
        <v>26.179524000000001</v>
      </c>
      <c r="O70" s="27">
        <f t="shared" si="11"/>
        <v>192.25422467999999</v>
      </c>
      <c r="P70" s="27">
        <f t="shared" si="12"/>
        <v>7.6901689871999999</v>
      </c>
      <c r="Q70" s="28">
        <f t="shared" si="13"/>
        <v>199.94439366719999</v>
      </c>
      <c r="R70" s="30">
        <v>3145.68</v>
      </c>
      <c r="S70" s="27">
        <f t="shared" si="14"/>
        <v>6.3561580856031127E-2</v>
      </c>
      <c r="T70" s="27">
        <f t="shared" si="15"/>
        <v>6.4000000000000001E-2</v>
      </c>
      <c r="U70" s="27">
        <f t="shared" si="16"/>
        <v>7.7439999999999995E-2</v>
      </c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64" customFormat="1" ht="15.75">
      <c r="A71" s="65">
        <v>63</v>
      </c>
      <c r="B71" s="26" t="s">
        <v>140</v>
      </c>
      <c r="C71" s="78">
        <v>18</v>
      </c>
      <c r="D71" s="27">
        <f t="shared" si="3"/>
        <v>2.3999999999999998E-3</v>
      </c>
      <c r="E71" s="28">
        <v>140.26</v>
      </c>
      <c r="F71" s="27">
        <f t="shared" si="1"/>
        <v>7.7922222222222212E-2</v>
      </c>
      <c r="G71" s="27">
        <f t="shared" si="2"/>
        <v>8.0322222222222212E-2</v>
      </c>
      <c r="H71" s="27">
        <f t="shared" si="4"/>
        <v>67.470666666666659</v>
      </c>
      <c r="I71" s="27">
        <f t="shared" si="5"/>
        <v>6.7470666666666661</v>
      </c>
      <c r="J71" s="27">
        <f t="shared" si="6"/>
        <v>6.7470666666666661</v>
      </c>
      <c r="K71" s="27">
        <f t="shared" si="7"/>
        <v>80.964799999999997</v>
      </c>
      <c r="L71" s="27">
        <f t="shared" si="8"/>
        <v>1.48975232</v>
      </c>
      <c r="M71" s="27">
        <f t="shared" si="9"/>
        <v>0.5799264444444443</v>
      </c>
      <c r="N71" s="27">
        <f t="shared" si="10"/>
        <v>13.089309333333333</v>
      </c>
      <c r="O71" s="27">
        <f t="shared" si="11"/>
        <v>96.123788097777762</v>
      </c>
      <c r="P71" s="27">
        <f t="shared" si="12"/>
        <v>3.8449515239111105</v>
      </c>
      <c r="Q71" s="28">
        <f t="shared" si="13"/>
        <v>99.968739621688869</v>
      </c>
      <c r="R71" s="31">
        <v>1579.91</v>
      </c>
      <c r="S71" s="27">
        <f t="shared" si="14"/>
        <v>6.3274958460728059E-2</v>
      </c>
      <c r="T71" s="27">
        <f t="shared" si="15"/>
        <v>6.3E-2</v>
      </c>
      <c r="U71" s="27">
        <f t="shared" si="16"/>
        <v>7.6229999999999992E-2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>
      <c r="A72" s="65">
        <v>64</v>
      </c>
      <c r="B72" s="26" t="s">
        <v>141</v>
      </c>
      <c r="C72" s="78">
        <v>9</v>
      </c>
      <c r="D72" s="27">
        <f t="shared" si="3"/>
        <v>1.1999999999999999E-3</v>
      </c>
      <c r="E72" s="28">
        <v>69.86</v>
      </c>
      <c r="F72" s="27">
        <f t="shared" si="1"/>
        <v>3.8811111111111109E-2</v>
      </c>
      <c r="G72" s="27">
        <f t="shared" si="2"/>
        <v>4.0011111111111108E-2</v>
      </c>
      <c r="H72" s="27">
        <f t="shared" si="4"/>
        <v>33.609333333333332</v>
      </c>
      <c r="I72" s="27">
        <f t="shared" si="5"/>
        <v>3.3609333333333336</v>
      </c>
      <c r="J72" s="27">
        <f t="shared" si="6"/>
        <v>3.3609333333333336</v>
      </c>
      <c r="K72" s="27">
        <f t="shared" si="7"/>
        <v>40.331200000000003</v>
      </c>
      <c r="L72" s="27">
        <f t="shared" si="8"/>
        <v>0.74209407999999999</v>
      </c>
      <c r="M72" s="27">
        <f t="shared" si="9"/>
        <v>0.2888802222222222</v>
      </c>
      <c r="N72" s="27">
        <f t="shared" si="10"/>
        <v>6.5202106666666664</v>
      </c>
      <c r="O72" s="27">
        <f t="shared" si="11"/>
        <v>47.882384968888893</v>
      </c>
      <c r="P72" s="27">
        <f t="shared" si="12"/>
        <v>1.9152953987555557</v>
      </c>
      <c r="Q72" s="28">
        <f t="shared" si="13"/>
        <v>49.797680367644446</v>
      </c>
      <c r="R72" s="30">
        <v>862.72</v>
      </c>
      <c r="S72" s="27">
        <f t="shared" si="14"/>
        <v>5.7721717785196178E-2</v>
      </c>
      <c r="T72" s="27">
        <f t="shared" si="15"/>
        <v>5.8000000000000003E-2</v>
      </c>
      <c r="U72" s="27">
        <f t="shared" si="16"/>
        <v>7.0180000000000006E-2</v>
      </c>
    </row>
    <row r="73" spans="1:44">
      <c r="A73" s="65">
        <v>65</v>
      </c>
      <c r="B73" s="26" t="s">
        <v>142</v>
      </c>
      <c r="C73" s="78">
        <v>16</v>
      </c>
      <c r="D73" s="27">
        <f>C73/7500</f>
        <v>2.1333333333333334E-3</v>
      </c>
      <c r="E73" s="28">
        <v>127.8</v>
      </c>
      <c r="F73" s="27">
        <f t="shared" si="1"/>
        <v>7.0999999999999994E-2</v>
      </c>
      <c r="G73" s="27">
        <f t="shared" si="2"/>
        <v>7.3133333333333328E-2</v>
      </c>
      <c r="H73" s="27">
        <f t="shared" si="4"/>
        <v>61.431999999999995</v>
      </c>
      <c r="I73" s="27">
        <f t="shared" si="5"/>
        <v>6.1432000000000002</v>
      </c>
      <c r="J73" s="27">
        <f t="shared" si="6"/>
        <v>6.1432000000000002</v>
      </c>
      <c r="K73" s="27">
        <f t="shared" si="7"/>
        <v>73.718400000000003</v>
      </c>
      <c r="L73" s="27">
        <f t="shared" si="8"/>
        <v>1.3564185600000001</v>
      </c>
      <c r="M73" s="27">
        <f t="shared" si="9"/>
        <v>0.52802266666666664</v>
      </c>
      <c r="N73" s="27">
        <f t="shared" si="10"/>
        <v>11.917807999999999</v>
      </c>
      <c r="O73" s="27">
        <f t="shared" si="11"/>
        <v>87.520649226666663</v>
      </c>
      <c r="P73" s="27">
        <f t="shared" si="12"/>
        <v>3.5008259690666668</v>
      </c>
      <c r="Q73" s="28">
        <f t="shared" si="13"/>
        <v>91.021475195733331</v>
      </c>
      <c r="R73" s="30">
        <v>1363.82</v>
      </c>
      <c r="S73" s="27">
        <f t="shared" si="14"/>
        <v>6.6740094144193032E-2</v>
      </c>
      <c r="T73" s="27">
        <f t="shared" si="15"/>
        <v>6.7000000000000004E-2</v>
      </c>
      <c r="U73" s="27">
        <f t="shared" si="16"/>
        <v>8.1070000000000003E-2</v>
      </c>
    </row>
    <row r="74" spans="1:44">
      <c r="A74" s="65">
        <v>66</v>
      </c>
      <c r="B74" s="26" t="s">
        <v>143</v>
      </c>
      <c r="C74" s="78">
        <v>5</v>
      </c>
      <c r="D74" s="27">
        <f t="shared" si="3"/>
        <v>6.6666666666666664E-4</v>
      </c>
      <c r="E74" s="28">
        <v>86.27</v>
      </c>
      <c r="F74" s="27">
        <f t="shared" si="1"/>
        <v>4.7927777777777777E-2</v>
      </c>
      <c r="G74" s="27">
        <f t="shared" si="2"/>
        <v>4.8594444444444447E-2</v>
      </c>
      <c r="H74" s="27">
        <f t="shared" si="4"/>
        <v>40.819333333333333</v>
      </c>
      <c r="I74" s="27">
        <f t="shared" si="5"/>
        <v>4.0819333333333336</v>
      </c>
      <c r="J74" s="27">
        <f t="shared" si="6"/>
        <v>4.0819333333333336</v>
      </c>
      <c r="K74" s="27">
        <f t="shared" si="7"/>
        <v>48.983199999999997</v>
      </c>
      <c r="L74" s="27">
        <f t="shared" si="8"/>
        <v>0.90129087999999991</v>
      </c>
      <c r="M74" s="27">
        <f t="shared" si="9"/>
        <v>0.35085188888888891</v>
      </c>
      <c r="N74" s="27">
        <f t="shared" si="10"/>
        <v>7.9189506666666665</v>
      </c>
      <c r="O74" s="27">
        <f t="shared" si="11"/>
        <v>58.154293435555552</v>
      </c>
      <c r="P74" s="27">
        <f t="shared" si="12"/>
        <v>2.3261717374222219</v>
      </c>
      <c r="Q74" s="28">
        <f t="shared" si="13"/>
        <v>60.480465172977773</v>
      </c>
      <c r="R74" s="31">
        <v>721.45</v>
      </c>
      <c r="S74" s="27">
        <f t="shared" si="14"/>
        <v>8.3831818106560083E-2</v>
      </c>
      <c r="T74" s="27">
        <f t="shared" si="15"/>
        <v>8.4000000000000005E-2</v>
      </c>
      <c r="U74" s="27">
        <f t="shared" si="16"/>
        <v>0.10164000000000001</v>
      </c>
    </row>
    <row r="75" spans="1:44">
      <c r="A75" s="65">
        <v>67</v>
      </c>
      <c r="B75" s="26" t="s">
        <v>144</v>
      </c>
      <c r="C75" s="79">
        <f>8+8</f>
        <v>16</v>
      </c>
      <c r="D75" s="27">
        <f t="shared" si="3"/>
        <v>2.1333333333333334E-3</v>
      </c>
      <c r="E75" s="70">
        <f>63.96+63.95</f>
        <v>127.91</v>
      </c>
      <c r="F75" s="27">
        <f t="shared" si="1"/>
        <v>7.1061111111111103E-2</v>
      </c>
      <c r="G75" s="27">
        <f t="shared" si="2"/>
        <v>7.3194444444444437E-2</v>
      </c>
      <c r="H75" s="27">
        <f t="shared" si="4"/>
        <v>61.483333333333327</v>
      </c>
      <c r="I75" s="27">
        <f t="shared" si="5"/>
        <v>6.1483333333333334</v>
      </c>
      <c r="J75" s="27">
        <f t="shared" si="6"/>
        <v>6.1483333333333334</v>
      </c>
      <c r="K75" s="27">
        <f t="shared" si="7"/>
        <v>73.78</v>
      </c>
      <c r="L75" s="27">
        <f t="shared" si="8"/>
        <v>1.3575520000000001</v>
      </c>
      <c r="M75" s="27">
        <f t="shared" si="9"/>
        <v>0.52846388888888884</v>
      </c>
      <c r="N75" s="27">
        <f t="shared" si="10"/>
        <v>11.927766666666665</v>
      </c>
      <c r="O75" s="27">
        <f t="shared" si="11"/>
        <v>87.593782555555563</v>
      </c>
      <c r="P75" s="27">
        <f t="shared" si="12"/>
        <v>3.5037513022222226</v>
      </c>
      <c r="Q75" s="28">
        <f t="shared" si="13"/>
        <v>91.09753385777779</v>
      </c>
      <c r="R75" s="30">
        <v>1343.93</v>
      </c>
      <c r="S75" s="27">
        <f t="shared" si="14"/>
        <v>6.7784433607239805E-2</v>
      </c>
      <c r="T75" s="27">
        <f t="shared" si="15"/>
        <v>6.8000000000000005E-2</v>
      </c>
      <c r="U75" s="27">
        <f t="shared" si="16"/>
        <v>8.2280000000000006E-2</v>
      </c>
    </row>
    <row r="76" spans="1:44">
      <c r="A76" s="65">
        <v>68</v>
      </c>
      <c r="B76" s="26" t="s">
        <v>145</v>
      </c>
      <c r="C76" s="78">
        <v>15</v>
      </c>
      <c r="D76" s="27">
        <f>C76/7500</f>
        <v>2E-3</v>
      </c>
      <c r="E76" s="28">
        <v>191.62</v>
      </c>
      <c r="F76" s="27">
        <f t="shared" si="1"/>
        <v>0.10645555555555555</v>
      </c>
      <c r="G76" s="27">
        <f t="shared" si="2"/>
        <v>0.10845555555555556</v>
      </c>
      <c r="H76" s="27">
        <f t="shared" si="4"/>
        <v>91.102666666666664</v>
      </c>
      <c r="I76" s="27">
        <f t="shared" si="5"/>
        <v>9.1102666666666661</v>
      </c>
      <c r="J76" s="27">
        <f t="shared" si="6"/>
        <v>9.1102666666666661</v>
      </c>
      <c r="K76" s="27">
        <f t="shared" si="7"/>
        <v>109.32319999999999</v>
      </c>
      <c r="L76" s="27">
        <f t="shared" si="8"/>
        <v>2.0115468799999996</v>
      </c>
      <c r="M76" s="27">
        <f t="shared" si="9"/>
        <v>0.78304911111111108</v>
      </c>
      <c r="N76" s="27">
        <f t="shared" si="10"/>
        <v>17.673917333333332</v>
      </c>
      <c r="O76" s="27">
        <f t="shared" si="11"/>
        <v>129.79171332444443</v>
      </c>
      <c r="P76" s="27">
        <f t="shared" si="12"/>
        <v>5.1916685329777774</v>
      </c>
      <c r="Q76" s="28">
        <f t="shared" si="13"/>
        <v>134.98338185742222</v>
      </c>
      <c r="R76" s="30">
        <v>2172</v>
      </c>
      <c r="S76" s="27">
        <f t="shared" si="14"/>
        <v>6.2147045054061795E-2</v>
      </c>
      <c r="T76" s="27">
        <f t="shared" si="15"/>
        <v>6.2E-2</v>
      </c>
      <c r="U76" s="27">
        <f t="shared" si="16"/>
        <v>7.5020000000000003E-2</v>
      </c>
    </row>
    <row r="77" spans="1:44">
      <c r="A77" s="65">
        <v>69</v>
      </c>
      <c r="B77" s="26" t="s">
        <v>146</v>
      </c>
      <c r="C77" s="78">
        <v>16</v>
      </c>
      <c r="D77" s="27">
        <f>C77/7500</f>
        <v>2.1333333333333334E-3</v>
      </c>
      <c r="E77" s="28">
        <v>128.41</v>
      </c>
      <c r="F77" s="27">
        <f t="shared" si="1"/>
        <v>7.1338888888888882E-2</v>
      </c>
      <c r="G77" s="27">
        <f t="shared" si="2"/>
        <v>7.3472222222222217E-2</v>
      </c>
      <c r="H77" s="27">
        <f t="shared" si="4"/>
        <v>61.716666666666661</v>
      </c>
      <c r="I77" s="27">
        <f t="shared" si="5"/>
        <v>6.1716666666666669</v>
      </c>
      <c r="J77" s="27">
        <f t="shared" si="6"/>
        <v>6.1716666666666669</v>
      </c>
      <c r="K77" s="27">
        <f t="shared" si="7"/>
        <v>74.059999999999988</v>
      </c>
      <c r="L77" s="27">
        <f t="shared" si="8"/>
        <v>1.3627039999999997</v>
      </c>
      <c r="M77" s="27">
        <f t="shared" si="9"/>
        <v>0.53046944444444444</v>
      </c>
      <c r="N77" s="27">
        <f t="shared" si="10"/>
        <v>11.973033333333333</v>
      </c>
      <c r="O77" s="27">
        <f t="shared" si="11"/>
        <v>87.926206777777765</v>
      </c>
      <c r="P77" s="27">
        <f t="shared" si="12"/>
        <v>3.5170482711111108</v>
      </c>
      <c r="Q77" s="28">
        <f t="shared" si="13"/>
        <v>91.443255048888872</v>
      </c>
      <c r="R77" s="30">
        <v>1355.7</v>
      </c>
      <c r="S77" s="27">
        <f t="shared" si="14"/>
        <v>6.7450951574012596E-2</v>
      </c>
      <c r="T77" s="27">
        <f t="shared" si="15"/>
        <v>6.7000000000000004E-2</v>
      </c>
      <c r="U77" s="27">
        <f t="shared" si="16"/>
        <v>8.1070000000000003E-2</v>
      </c>
    </row>
    <row r="78" spans="1:44">
      <c r="A78" s="65">
        <v>70</v>
      </c>
      <c r="B78" s="26" t="s">
        <v>216</v>
      </c>
      <c r="C78">
        <v>0.40384728243021345</v>
      </c>
      <c r="D78">
        <v>339.23171724137927</v>
      </c>
      <c r="E78">
        <v>33.92317172413793</v>
      </c>
      <c r="F78">
        <v>33.92317172413793</v>
      </c>
      <c r="G78">
        <v>407.07806068965516</v>
      </c>
      <c r="H78">
        <v>7.4902363166896544</v>
      </c>
      <c r="I78"/>
      <c r="J78">
        <v>2.915777379146141</v>
      </c>
      <c r="K78">
        <v>65.810953144827579</v>
      </c>
      <c r="L78">
        <v>483.29502753031858</v>
      </c>
      <c r="M78">
        <v>19.331801101212744</v>
      </c>
      <c r="N78">
        <v>502.62682863153134</v>
      </c>
      <c r="O78">
        <v>3489.75</v>
      </c>
      <c r="P78">
        <v>0.14402946590200769</v>
      </c>
      <c r="Q78">
        <v>0.14399999999999999</v>
      </c>
      <c r="R78" s="43"/>
      <c r="S78" s="27"/>
      <c r="T78" s="27">
        <v>0.14399999999999999</v>
      </c>
      <c r="U78" s="27">
        <f t="shared" si="16"/>
        <v>0.17423999999999998</v>
      </c>
    </row>
    <row r="79" spans="1:44">
      <c r="A79" s="65">
        <v>71</v>
      </c>
      <c r="B79" s="26" t="s">
        <v>229</v>
      </c>
      <c r="C79" s="71">
        <v>8.75</v>
      </c>
      <c r="D79" s="27">
        <f>C79/7500</f>
        <v>1.1666666666666668E-3</v>
      </c>
      <c r="E79" s="66">
        <v>64.14</v>
      </c>
      <c r="F79" s="27">
        <f>E79/1800</f>
        <v>3.5633333333333336E-2</v>
      </c>
      <c r="G79" s="27">
        <f t="shared" si="2"/>
        <v>3.6800000000000006E-2</v>
      </c>
      <c r="H79" s="27">
        <f t="shared" si="4"/>
        <v>30.912000000000006</v>
      </c>
      <c r="I79" s="27">
        <f t="shared" si="5"/>
        <v>3.0912000000000006</v>
      </c>
      <c r="J79" s="27">
        <f t="shared" si="6"/>
        <v>3.0912000000000006</v>
      </c>
      <c r="K79" s="27">
        <f t="shared" si="7"/>
        <v>37.094400000000007</v>
      </c>
      <c r="L79" s="27">
        <f t="shared" si="8"/>
        <v>0.68253696000000008</v>
      </c>
      <c r="M79" s="27">
        <f t="shared" si="9"/>
        <v>0.26569600000000004</v>
      </c>
      <c r="N79" s="27">
        <f t="shared" si="10"/>
        <v>5.9969280000000014</v>
      </c>
      <c r="O79" s="27">
        <f t="shared" si="11"/>
        <v>44.03956096000001</v>
      </c>
      <c r="P79" s="27">
        <f t="shared" si="12"/>
        <v>1.7615824384000005</v>
      </c>
      <c r="Q79" s="28">
        <f t="shared" si="13"/>
        <v>45.801143398400008</v>
      </c>
      <c r="R79" s="43">
        <v>680.35</v>
      </c>
      <c r="S79" s="27">
        <f t="shared" si="14"/>
        <v>6.7319972658778579E-2</v>
      </c>
      <c r="T79" s="27">
        <f t="shared" si="15"/>
        <v>6.7000000000000004E-2</v>
      </c>
      <c r="U79" s="27">
        <f t="shared" si="16"/>
        <v>8.1070000000000003E-2</v>
      </c>
    </row>
    <row r="80" spans="1:44">
      <c r="A80" s="65">
        <v>72</v>
      </c>
      <c r="B80" s="26" t="s">
        <v>147</v>
      </c>
      <c r="C80" s="78">
        <v>11</v>
      </c>
      <c r="D80" s="27">
        <f>C80/7500</f>
        <v>1.4666666666666667E-3</v>
      </c>
      <c r="E80" s="28">
        <v>89.71</v>
      </c>
      <c r="F80" s="27">
        <f t="shared" si="1"/>
        <v>4.9838888888888884E-2</v>
      </c>
      <c r="G80" s="27">
        <f t="shared" si="2"/>
        <v>5.1305555555555549E-2</v>
      </c>
      <c r="H80" s="27">
        <f t="shared" si="4"/>
        <v>43.096666666666664</v>
      </c>
      <c r="I80" s="27">
        <f t="shared" si="5"/>
        <v>4.3096666666666668</v>
      </c>
      <c r="J80" s="27">
        <f t="shared" si="6"/>
        <v>4.3096666666666668</v>
      </c>
      <c r="K80" s="27">
        <f t="shared" si="7"/>
        <v>51.715999999999994</v>
      </c>
      <c r="L80" s="27">
        <f t="shared" si="8"/>
        <v>0.95157439999999982</v>
      </c>
      <c r="M80" s="27">
        <f t="shared" si="9"/>
        <v>0.37042611111111107</v>
      </c>
      <c r="N80" s="27">
        <f t="shared" si="10"/>
        <v>8.3607533333333333</v>
      </c>
      <c r="O80" s="27">
        <f t="shared" si="11"/>
        <v>61.398753844444435</v>
      </c>
      <c r="P80" s="27">
        <f t="shared" si="12"/>
        <v>2.4559501537777773</v>
      </c>
      <c r="Q80" s="28">
        <f t="shared" si="13"/>
        <v>63.854703998222213</v>
      </c>
      <c r="R80" s="30">
        <v>719.66</v>
      </c>
      <c r="S80" s="27">
        <f t="shared" si="14"/>
        <v>8.872898868663287E-2</v>
      </c>
      <c r="T80" s="27">
        <f t="shared" si="15"/>
        <v>8.8999999999999996E-2</v>
      </c>
      <c r="U80" s="27">
        <f t="shared" si="16"/>
        <v>0.10768999999999999</v>
      </c>
    </row>
    <row r="81" spans="1:44">
      <c r="A81" s="65">
        <v>73</v>
      </c>
      <c r="B81" s="26" t="s">
        <v>148</v>
      </c>
      <c r="C81" s="78">
        <f>6.5+6.5</f>
        <v>13</v>
      </c>
      <c r="D81" s="27">
        <f>C81/7500</f>
        <v>1.7333333333333333E-3</v>
      </c>
      <c r="E81" s="72">
        <f>64.89+65</f>
        <v>129.88999999999999</v>
      </c>
      <c r="F81" s="27">
        <f t="shared" si="1"/>
        <v>7.2161111111111106E-2</v>
      </c>
      <c r="G81" s="27">
        <f t="shared" si="2"/>
        <v>7.3894444444444443E-2</v>
      </c>
      <c r="H81" s="27">
        <f t="shared" ref="H81:H151" si="17">G81*840</f>
        <v>62.071333333333335</v>
      </c>
      <c r="I81" s="27">
        <f t="shared" si="5"/>
        <v>6.2071333333333341</v>
      </c>
      <c r="J81" s="27">
        <f t="shared" si="6"/>
        <v>6.2071333333333341</v>
      </c>
      <c r="K81" s="27">
        <f t="shared" si="7"/>
        <v>74.485600000000005</v>
      </c>
      <c r="L81" s="27">
        <f t="shared" si="8"/>
        <v>1.37053504</v>
      </c>
      <c r="M81" s="27">
        <f t="shared" si="9"/>
        <v>0.53351788888888885</v>
      </c>
      <c r="N81" s="27">
        <f t="shared" si="10"/>
        <v>12.041838666666667</v>
      </c>
      <c r="O81" s="27">
        <f t="shared" si="11"/>
        <v>88.431491595555556</v>
      </c>
      <c r="P81" s="27">
        <f t="shared" si="12"/>
        <v>3.5372596638222222</v>
      </c>
      <c r="Q81" s="28">
        <f t="shared" si="13"/>
        <v>91.968751259377783</v>
      </c>
      <c r="R81" s="30">
        <v>1359.15</v>
      </c>
      <c r="S81" s="27">
        <f t="shared" si="14"/>
        <v>6.7666373291673312E-2</v>
      </c>
      <c r="T81" s="27">
        <f t="shared" ref="T81:T151" si="18">ROUND(S81,3)</f>
        <v>6.8000000000000005E-2</v>
      </c>
      <c r="U81" s="27">
        <f t="shared" ref="U81:U153" si="19">T81*1.21</f>
        <v>8.2280000000000006E-2</v>
      </c>
    </row>
    <row r="82" spans="1:44">
      <c r="A82" s="65">
        <v>74</v>
      </c>
      <c r="B82" s="26" t="s">
        <v>149</v>
      </c>
      <c r="C82" s="78">
        <v>2</v>
      </c>
      <c r="D82" s="27">
        <f t="shared" si="3"/>
        <v>2.6666666666666668E-4</v>
      </c>
      <c r="E82" s="28">
        <v>112.3</v>
      </c>
      <c r="F82" s="27">
        <f t="shared" si="1"/>
        <v>6.238888888888889E-2</v>
      </c>
      <c r="G82" s="27">
        <f t="shared" si="2"/>
        <v>6.2655555555555562E-2</v>
      </c>
      <c r="H82" s="27">
        <f t="shared" si="17"/>
        <v>52.63066666666667</v>
      </c>
      <c r="I82" s="27">
        <f t="shared" si="5"/>
        <v>5.263066666666667</v>
      </c>
      <c r="J82" s="27">
        <f t="shared" si="6"/>
        <v>5.263066666666667</v>
      </c>
      <c r="K82" s="27">
        <f t="shared" si="7"/>
        <v>63.156800000000004</v>
      </c>
      <c r="L82" s="27">
        <f t="shared" si="8"/>
        <v>1.16208512</v>
      </c>
      <c r="M82" s="27">
        <f t="shared" si="9"/>
        <v>0.45237311111111111</v>
      </c>
      <c r="N82" s="27">
        <f t="shared" si="10"/>
        <v>10.210349333333335</v>
      </c>
      <c r="O82" s="27">
        <f t="shared" si="11"/>
        <v>74.98160756444446</v>
      </c>
      <c r="P82" s="27">
        <f t="shared" si="12"/>
        <v>2.9992643025777785</v>
      </c>
      <c r="Q82" s="28">
        <f t="shared" si="13"/>
        <v>77.980871867022245</v>
      </c>
      <c r="R82" s="30">
        <v>1068.4100000000001</v>
      </c>
      <c r="S82" s="27">
        <f t="shared" si="14"/>
        <v>7.2987777975704313E-2</v>
      </c>
      <c r="T82" s="27">
        <f t="shared" si="18"/>
        <v>7.2999999999999995E-2</v>
      </c>
      <c r="U82" s="27">
        <f t="shared" si="19"/>
        <v>8.8329999999999992E-2</v>
      </c>
    </row>
    <row r="83" spans="1:44">
      <c r="A83" s="65">
        <v>75</v>
      </c>
      <c r="B83" s="26" t="s">
        <v>150</v>
      </c>
      <c r="C83" s="78">
        <v>3</v>
      </c>
      <c r="D83" s="27">
        <f t="shared" si="3"/>
        <v>4.0000000000000002E-4</v>
      </c>
      <c r="E83" s="28">
        <v>81.180000000000007</v>
      </c>
      <c r="F83" s="27">
        <f t="shared" si="1"/>
        <v>4.5100000000000001E-2</v>
      </c>
      <c r="G83" s="27">
        <f t="shared" si="2"/>
        <v>4.5499999999999999E-2</v>
      </c>
      <c r="H83" s="27">
        <f t="shared" si="17"/>
        <v>38.22</v>
      </c>
      <c r="I83" s="27">
        <f t="shared" si="5"/>
        <v>3.8220000000000001</v>
      </c>
      <c r="J83" s="27">
        <f t="shared" si="6"/>
        <v>3.8220000000000001</v>
      </c>
      <c r="K83" s="27">
        <f t="shared" si="7"/>
        <v>45.864000000000004</v>
      </c>
      <c r="L83" s="27">
        <f t="shared" si="8"/>
        <v>0.84389760000000003</v>
      </c>
      <c r="M83" s="27">
        <f t="shared" si="9"/>
        <v>0.32850999999999997</v>
      </c>
      <c r="N83" s="27">
        <f t="shared" si="10"/>
        <v>7.4146799999999997</v>
      </c>
      <c r="O83" s="27">
        <f t="shared" si="11"/>
        <v>54.451087600000001</v>
      </c>
      <c r="P83" s="27">
        <f t="shared" si="12"/>
        <v>2.1780435040000001</v>
      </c>
      <c r="Q83" s="28">
        <f t="shared" si="13"/>
        <v>56.629131104000002</v>
      </c>
      <c r="R83" s="30">
        <v>586</v>
      </c>
      <c r="S83" s="27">
        <f t="shared" si="14"/>
        <v>9.6636742498293515E-2</v>
      </c>
      <c r="T83" s="27">
        <f t="shared" si="18"/>
        <v>9.7000000000000003E-2</v>
      </c>
      <c r="U83" s="27">
        <f t="shared" si="19"/>
        <v>0.11737</v>
      </c>
    </row>
    <row r="84" spans="1:44">
      <c r="A84" s="65">
        <v>76</v>
      </c>
      <c r="B84" s="26" t="s">
        <v>151</v>
      </c>
      <c r="C84" s="78">
        <v>7.46</v>
      </c>
      <c r="D84" s="27">
        <f t="shared" si="3"/>
        <v>9.946666666666667E-4</v>
      </c>
      <c r="E84" s="28">
        <v>246.1</v>
      </c>
      <c r="F84" s="27">
        <f t="shared" si="1"/>
        <v>0.13672222222222222</v>
      </c>
      <c r="G84" s="27">
        <f t="shared" si="2"/>
        <v>0.13771688888888889</v>
      </c>
      <c r="H84" s="27">
        <f t="shared" si="17"/>
        <v>115.68218666666667</v>
      </c>
      <c r="I84" s="27">
        <f t="shared" si="5"/>
        <v>11.568218666666667</v>
      </c>
      <c r="J84" s="27">
        <f t="shared" si="6"/>
        <v>11.568218666666667</v>
      </c>
      <c r="K84" s="27">
        <f t="shared" si="7"/>
        <v>138.818624</v>
      </c>
      <c r="L84" s="27">
        <f t="shared" si="8"/>
        <v>2.5542626816</v>
      </c>
      <c r="M84" s="27">
        <f t="shared" si="9"/>
        <v>0.99431593777777771</v>
      </c>
      <c r="N84" s="27">
        <f t="shared" si="10"/>
        <v>22.442344213333335</v>
      </c>
      <c r="O84" s="27">
        <f t="shared" si="11"/>
        <v>164.80954683271111</v>
      </c>
      <c r="P84" s="27">
        <f t="shared" si="12"/>
        <v>6.5923818733084447</v>
      </c>
      <c r="Q84" s="28">
        <f t="shared" si="13"/>
        <v>171.40192870601956</v>
      </c>
      <c r="R84" s="30">
        <v>1959.28</v>
      </c>
      <c r="S84" s="27">
        <f t="shared" si="14"/>
        <v>8.7482099907118721E-2</v>
      </c>
      <c r="T84" s="27">
        <f t="shared" si="18"/>
        <v>8.6999999999999994E-2</v>
      </c>
      <c r="U84" s="27">
        <f t="shared" si="19"/>
        <v>0.10526999999999999</v>
      </c>
    </row>
    <row r="85" spans="1:44">
      <c r="A85" s="65">
        <v>77</v>
      </c>
      <c r="B85" s="26" t="s">
        <v>152</v>
      </c>
      <c r="C85" s="78">
        <v>9.4</v>
      </c>
      <c r="D85" s="27">
        <f t="shared" si="3"/>
        <v>1.2533333333333333E-3</v>
      </c>
      <c r="E85" s="28">
        <v>339.65</v>
      </c>
      <c r="F85" s="27">
        <f t="shared" si="1"/>
        <v>0.18869444444444444</v>
      </c>
      <c r="G85" s="27">
        <f t="shared" si="2"/>
        <v>0.18994777777777777</v>
      </c>
      <c r="H85" s="27">
        <f t="shared" si="17"/>
        <v>159.55613333333332</v>
      </c>
      <c r="I85" s="27">
        <f t="shared" si="5"/>
        <v>15.955613333333332</v>
      </c>
      <c r="J85" s="27">
        <f t="shared" si="6"/>
        <v>15.955613333333332</v>
      </c>
      <c r="K85" s="27">
        <f t="shared" si="7"/>
        <v>191.46735999999999</v>
      </c>
      <c r="L85" s="27">
        <f t="shared" si="8"/>
        <v>3.5229994239999995</v>
      </c>
      <c r="M85" s="27">
        <f t="shared" si="9"/>
        <v>1.3714229555555555</v>
      </c>
      <c r="N85" s="27">
        <f t="shared" si="10"/>
        <v>30.953889866666664</v>
      </c>
      <c r="O85" s="27">
        <f t="shared" si="11"/>
        <v>227.31567224622219</v>
      </c>
      <c r="P85" s="27">
        <f t="shared" si="12"/>
        <v>9.0926268898488871</v>
      </c>
      <c r="Q85" s="28">
        <f t="shared" si="13"/>
        <v>236.40829913607109</v>
      </c>
      <c r="R85" s="30">
        <v>3241.35</v>
      </c>
      <c r="S85" s="27">
        <f t="shared" si="14"/>
        <v>7.2935134785219458E-2</v>
      </c>
      <c r="T85" s="27">
        <f t="shared" si="18"/>
        <v>7.2999999999999995E-2</v>
      </c>
      <c r="U85" s="27">
        <f t="shared" si="19"/>
        <v>8.8329999999999992E-2</v>
      </c>
    </row>
    <row r="86" spans="1:44">
      <c r="A86" s="65">
        <v>78</v>
      </c>
      <c r="B86" s="26" t="s">
        <v>153</v>
      </c>
      <c r="C86" s="78">
        <f>4.48+2.24</f>
        <v>6.7200000000000006</v>
      </c>
      <c r="D86" s="27">
        <f t="shared" si="3"/>
        <v>8.9600000000000009E-4</v>
      </c>
      <c r="E86" s="28">
        <f>225.96+112.98</f>
        <v>338.94</v>
      </c>
      <c r="F86" s="27">
        <f t="shared" si="1"/>
        <v>0.1883</v>
      </c>
      <c r="G86" s="27">
        <f t="shared" si="2"/>
        <v>0.189196</v>
      </c>
      <c r="H86" s="27">
        <f t="shared" si="17"/>
        <v>158.92464000000001</v>
      </c>
      <c r="I86" s="27">
        <f t="shared" si="5"/>
        <v>15.892464000000002</v>
      </c>
      <c r="J86" s="27">
        <f t="shared" si="6"/>
        <v>15.892464000000002</v>
      </c>
      <c r="K86" s="27">
        <f t="shared" si="7"/>
        <v>190.70956799999999</v>
      </c>
      <c r="L86" s="27">
        <f t="shared" si="8"/>
        <v>3.5090560512</v>
      </c>
      <c r="M86" s="27">
        <f t="shared" si="9"/>
        <v>1.36599512</v>
      </c>
      <c r="N86" s="27">
        <f t="shared" si="10"/>
        <v>30.831380160000002</v>
      </c>
      <c r="O86" s="27">
        <f t="shared" si="11"/>
        <v>226.4159993312</v>
      </c>
      <c r="P86" s="27">
        <f t="shared" si="12"/>
        <v>9.0566399732480001</v>
      </c>
      <c r="Q86" s="28">
        <f t="shared" si="13"/>
        <v>235.47263930444799</v>
      </c>
      <c r="R86" s="30">
        <v>3235.25</v>
      </c>
      <c r="S86" s="27">
        <f t="shared" si="14"/>
        <v>7.2783444650165521E-2</v>
      </c>
      <c r="T86" s="27">
        <f t="shared" si="18"/>
        <v>7.2999999999999995E-2</v>
      </c>
      <c r="U86" s="27">
        <f t="shared" si="19"/>
        <v>8.8329999999999992E-2</v>
      </c>
    </row>
    <row r="87" spans="1:44">
      <c r="A87" s="65">
        <v>79</v>
      </c>
      <c r="B87" s="26" t="s">
        <v>154</v>
      </c>
      <c r="C87" s="78">
        <v>2.4300000000000002</v>
      </c>
      <c r="D87" s="27">
        <f t="shared" si="3"/>
        <v>3.2400000000000001E-4</v>
      </c>
      <c r="E87" s="28">
        <v>112.79</v>
      </c>
      <c r="F87" s="27">
        <f t="shared" si="1"/>
        <v>6.2661111111111112E-2</v>
      </c>
      <c r="G87" s="27">
        <f t="shared" si="2"/>
        <v>6.2985111111111117E-2</v>
      </c>
      <c r="H87" s="27">
        <f t="shared" si="17"/>
        <v>52.907493333333335</v>
      </c>
      <c r="I87" s="27">
        <f t="shared" si="5"/>
        <v>5.2907493333333342</v>
      </c>
      <c r="J87" s="27">
        <f t="shared" si="6"/>
        <v>5.2907493333333342</v>
      </c>
      <c r="K87" s="27">
        <f t="shared" si="7"/>
        <v>63.48899200000001</v>
      </c>
      <c r="L87" s="27">
        <f t="shared" si="8"/>
        <v>1.1681974528000001</v>
      </c>
      <c r="M87" s="27">
        <f t="shared" si="9"/>
        <v>0.45475250222222224</v>
      </c>
      <c r="N87" s="27">
        <f t="shared" si="10"/>
        <v>10.264053706666667</v>
      </c>
      <c r="O87" s="27">
        <f t="shared" si="11"/>
        <v>75.375995661688904</v>
      </c>
      <c r="P87" s="27">
        <f t="shared" si="12"/>
        <v>3.0150398264675564</v>
      </c>
      <c r="Q87" s="28">
        <f t="shared" si="13"/>
        <v>78.391035488156461</v>
      </c>
      <c r="R87" s="31">
        <v>1064.56</v>
      </c>
      <c r="S87" s="27">
        <f t="shared" si="14"/>
        <v>7.3637028902228591E-2</v>
      </c>
      <c r="T87" s="27">
        <f t="shared" si="18"/>
        <v>7.3999999999999996E-2</v>
      </c>
      <c r="U87" s="27">
        <f t="shared" si="19"/>
        <v>8.9539999999999995E-2</v>
      </c>
    </row>
    <row r="88" spans="1:44">
      <c r="A88" s="65">
        <v>80</v>
      </c>
      <c r="B88" s="26" t="s">
        <v>232</v>
      </c>
      <c r="C88" s="78">
        <v>3.8</v>
      </c>
      <c r="D88" s="27">
        <f t="shared" si="3"/>
        <v>5.0666666666666666E-4</v>
      </c>
      <c r="E88" s="28">
        <v>114.67</v>
      </c>
      <c r="F88" s="27">
        <f t="shared" si="1"/>
        <v>6.3705555555555557E-2</v>
      </c>
      <c r="G88" s="27">
        <f t="shared" ref="G88:G151" si="20">D88+F88</f>
        <v>6.4212222222222226E-2</v>
      </c>
      <c r="H88" s="27">
        <f t="shared" si="17"/>
        <v>53.938266666666671</v>
      </c>
      <c r="I88" s="27">
        <f t="shared" si="5"/>
        <v>5.3938266666666674</v>
      </c>
      <c r="J88" s="27">
        <f t="shared" si="6"/>
        <v>5.3938266666666674</v>
      </c>
      <c r="K88" s="27">
        <f t="shared" si="7"/>
        <v>64.725920000000002</v>
      </c>
      <c r="L88" s="27">
        <f t="shared" si="8"/>
        <v>1.1909569280000001</v>
      </c>
      <c r="M88" s="27">
        <f t="shared" si="9"/>
        <v>0.46361224444444443</v>
      </c>
      <c r="N88" s="27">
        <f t="shared" si="10"/>
        <v>10.464023733333335</v>
      </c>
      <c r="O88" s="27">
        <f t="shared" si="11"/>
        <v>76.84451290577779</v>
      </c>
      <c r="P88" s="27">
        <f t="shared" si="12"/>
        <v>3.0737805162311118</v>
      </c>
      <c r="Q88" s="28">
        <f t="shared" si="13"/>
        <v>79.918293422008901</v>
      </c>
      <c r="R88" s="30">
        <v>987.44</v>
      </c>
      <c r="S88" s="27">
        <f t="shared" si="14"/>
        <v>8.0934834948967929E-2</v>
      </c>
      <c r="T88" s="27">
        <f t="shared" si="18"/>
        <v>8.1000000000000003E-2</v>
      </c>
      <c r="U88" s="27">
        <f t="shared" si="19"/>
        <v>9.801E-2</v>
      </c>
    </row>
    <row r="89" spans="1:44">
      <c r="A89" s="65">
        <v>81</v>
      </c>
      <c r="B89" s="26" t="s">
        <v>155</v>
      </c>
      <c r="C89" s="78">
        <f>6.88-3.44</f>
        <v>3.44</v>
      </c>
      <c r="D89" s="27">
        <f t="shared" si="3"/>
        <v>4.5866666666666668E-4</v>
      </c>
      <c r="E89" s="28">
        <f>230.22-115.11</f>
        <v>115.11</v>
      </c>
      <c r="F89" s="27">
        <f t="shared" si="1"/>
        <v>6.3949999999999993E-2</v>
      </c>
      <c r="G89" s="27">
        <f t="shared" si="20"/>
        <v>6.4408666666666656E-2</v>
      </c>
      <c r="H89" s="27">
        <f t="shared" si="17"/>
        <v>54.103279999999991</v>
      </c>
      <c r="I89" s="27">
        <f t="shared" ref="I89:I151" si="21">H89*0.1</f>
        <v>5.4103279999999998</v>
      </c>
      <c r="J89" s="27">
        <f t="shared" ref="J89:J151" si="22">H89*0.1</f>
        <v>5.4103279999999998</v>
      </c>
      <c r="K89" s="27">
        <f t="shared" ref="K89:K151" si="23">SUM(H89:J89)</f>
        <v>64.923935999999998</v>
      </c>
      <c r="L89" s="27">
        <f t="shared" ref="L89:L151" si="24">K89*0.0184</f>
        <v>1.1946004224</v>
      </c>
      <c r="M89" s="27">
        <f t="shared" ref="M89:M151" si="25">G89*7.22</f>
        <v>0.46503057333333325</v>
      </c>
      <c r="N89" s="27">
        <f t="shared" ref="N89:N151" si="26">H89*0.194</f>
        <v>10.496036319999998</v>
      </c>
      <c r="O89" s="27">
        <f t="shared" ref="O89:O151" si="27">SUM(K89:N89)</f>
        <v>77.079603315733337</v>
      </c>
      <c r="P89" s="27">
        <f t="shared" ref="P89:P151" si="28">O89*0.04</f>
        <v>3.0831841326293334</v>
      </c>
      <c r="Q89" s="28">
        <f t="shared" ref="Q89:Q151" si="29">SUM(O89:P89)</f>
        <v>80.162787448362664</v>
      </c>
      <c r="R89" s="30">
        <v>986.65</v>
      </c>
      <c r="S89" s="27">
        <f t="shared" ref="S89:S151" si="30">Q89/R89</f>
        <v>8.1247440782813221E-2</v>
      </c>
      <c r="T89" s="27">
        <f t="shared" si="18"/>
        <v>8.1000000000000003E-2</v>
      </c>
      <c r="U89" s="27">
        <f t="shared" si="19"/>
        <v>9.801E-2</v>
      </c>
    </row>
    <row r="90" spans="1:44">
      <c r="A90" s="65">
        <v>82</v>
      </c>
      <c r="B90" s="26" t="s">
        <v>219</v>
      </c>
      <c r="C90" s="77">
        <v>0.25109280788177341</v>
      </c>
      <c r="D90" s="26">
        <v>210.91795862068966</v>
      </c>
      <c r="E90" s="26">
        <v>21.091795862068967</v>
      </c>
      <c r="F90" s="26">
        <v>21.091795862068967</v>
      </c>
      <c r="G90" s="26">
        <v>253.10155034482761</v>
      </c>
      <c r="H90" s="26">
        <v>4.6570685263448279</v>
      </c>
      <c r="I90" s="26"/>
      <c r="J90" s="26">
        <v>1.8128900729064039</v>
      </c>
      <c r="K90" s="26">
        <v>40.918083972413797</v>
      </c>
      <c r="L90" s="26">
        <v>300.4895929164926</v>
      </c>
      <c r="M90" s="26">
        <v>12.019583716659705</v>
      </c>
      <c r="N90" s="26">
        <v>312.50917663315232</v>
      </c>
      <c r="O90" s="26">
        <v>2082.4499999999998</v>
      </c>
      <c r="P90" s="26">
        <v>0.15006803363017232</v>
      </c>
      <c r="Q90" s="26">
        <v>0.15</v>
      </c>
      <c r="R90" s="30"/>
      <c r="S90" s="27"/>
      <c r="T90" s="27">
        <v>0.15</v>
      </c>
      <c r="U90" s="27">
        <f t="shared" si="19"/>
        <v>0.18149999999999999</v>
      </c>
    </row>
    <row r="91" spans="1:44">
      <c r="A91" s="65">
        <v>83</v>
      </c>
      <c r="B91" s="26" t="s">
        <v>217</v>
      </c>
      <c r="C91" s="77">
        <v>0.23420462119825042</v>
      </c>
      <c r="D91" s="26">
        <v>196.73188180653034</v>
      </c>
      <c r="E91" s="26">
        <v>19.673188180653035</v>
      </c>
      <c r="F91" s="26">
        <v>19.673188180653035</v>
      </c>
      <c r="G91" s="26">
        <v>236.0782581678364</v>
      </c>
      <c r="H91" s="26">
        <v>4.3438399502881895</v>
      </c>
      <c r="I91" s="26"/>
      <c r="J91" s="26">
        <v>1.6909573650513681</v>
      </c>
      <c r="K91" s="26">
        <v>38.165985070466888</v>
      </c>
      <c r="L91" s="26">
        <v>280.27904055364286</v>
      </c>
      <c r="M91" s="26">
        <v>11.211161622145715</v>
      </c>
      <c r="N91" s="26">
        <v>291.49020217578857</v>
      </c>
      <c r="O91" s="26">
        <v>1550.98</v>
      </c>
      <c r="P91" s="26">
        <v>0.18793936877057638</v>
      </c>
      <c r="Q91" s="26">
        <v>0.188</v>
      </c>
      <c r="R91" s="30"/>
      <c r="S91" s="27"/>
      <c r="T91" s="27">
        <v>0.188</v>
      </c>
      <c r="U91" s="27">
        <f t="shared" si="19"/>
        <v>0.22747999999999999</v>
      </c>
    </row>
    <row r="92" spans="1:44">
      <c r="A92" s="65">
        <v>84</v>
      </c>
      <c r="B92" s="26" t="s">
        <v>218</v>
      </c>
      <c r="C92" s="77">
        <v>0.54096228070904306</v>
      </c>
      <c r="D92" s="26">
        <v>454.4083157955962</v>
      </c>
      <c r="E92" s="26">
        <v>45.440831579559621</v>
      </c>
      <c r="F92" s="26">
        <v>45.440831579559621</v>
      </c>
      <c r="G92" s="26">
        <v>545.28997895471548</v>
      </c>
      <c r="H92" s="26">
        <v>10.033335612766765</v>
      </c>
      <c r="I92" s="26"/>
      <c r="J92" s="26">
        <v>3.9057476667192907</v>
      </c>
      <c r="K92" s="26">
        <v>88.155213264345662</v>
      </c>
      <c r="L92" s="26">
        <v>647.38427549854725</v>
      </c>
      <c r="M92" s="26">
        <v>25.895371019941891</v>
      </c>
      <c r="N92" s="26">
        <v>673.27964651848913</v>
      </c>
      <c r="O92" s="26">
        <v>3631.26</v>
      </c>
      <c r="P92" s="26">
        <v>0.18541212871523632</v>
      </c>
      <c r="Q92" s="26">
        <v>0.185</v>
      </c>
      <c r="R92" s="30"/>
      <c r="S92" s="27"/>
      <c r="T92" s="27">
        <v>0.185</v>
      </c>
      <c r="U92" s="27">
        <f t="shared" si="19"/>
        <v>0.22384999999999999</v>
      </c>
    </row>
    <row r="93" spans="1:44">
      <c r="A93" s="65">
        <v>85</v>
      </c>
      <c r="B93" s="26" t="s">
        <v>221</v>
      </c>
      <c r="C93" s="77">
        <v>0.66873114121510668</v>
      </c>
      <c r="D93" s="26">
        <v>561.73415862068964</v>
      </c>
      <c r="E93" s="26">
        <v>56.173415862068964</v>
      </c>
      <c r="F93" s="26">
        <v>56.173415862068964</v>
      </c>
      <c r="G93" s="26">
        <v>674.08099034482757</v>
      </c>
      <c r="H93" s="26">
        <v>12.403090222344828</v>
      </c>
      <c r="I93" s="26"/>
      <c r="J93" s="26">
        <v>4.8282388395730704</v>
      </c>
      <c r="K93" s="26">
        <v>108.97642677241379</v>
      </c>
      <c r="L93" s="26">
        <v>800.28874617915926</v>
      </c>
      <c r="M93" s="26">
        <v>32.011549847166371</v>
      </c>
      <c r="N93" s="26">
        <v>832.30029602632567</v>
      </c>
      <c r="O93" s="26">
        <v>4940.7700000000004</v>
      </c>
      <c r="P93" s="26">
        <v>0.16845558405396843</v>
      </c>
      <c r="Q93" s="26">
        <v>0.16800000000000001</v>
      </c>
      <c r="R93" s="30"/>
      <c r="S93" s="27"/>
      <c r="T93" s="27">
        <v>0.16800000000000001</v>
      </c>
      <c r="U93" s="27">
        <f t="shared" si="19"/>
        <v>0.20328000000000002</v>
      </c>
    </row>
    <row r="94" spans="1:44">
      <c r="A94" s="65">
        <v>86</v>
      </c>
      <c r="B94" s="26" t="s">
        <v>222</v>
      </c>
      <c r="C94" s="77">
        <v>0.67411114121510674</v>
      </c>
      <c r="D94" s="26">
        <v>566.25335862068971</v>
      </c>
      <c r="E94" s="26">
        <v>56.625335862068972</v>
      </c>
      <c r="F94" s="26">
        <v>56.625335862068972</v>
      </c>
      <c r="G94" s="26">
        <v>679.50403034482758</v>
      </c>
      <c r="H94" s="26">
        <v>12.502874158344827</v>
      </c>
      <c r="I94" s="26"/>
      <c r="J94" s="26">
        <v>4.8670824395730703</v>
      </c>
      <c r="K94" s="26">
        <v>109.85315157241381</v>
      </c>
      <c r="L94" s="26">
        <v>806.72713851515937</v>
      </c>
      <c r="M94" s="26">
        <v>32.269085540606376</v>
      </c>
      <c r="N94" s="26">
        <v>838.99622405576577</v>
      </c>
      <c r="O94" s="26">
        <v>4986.8599999999997</v>
      </c>
      <c r="P94" s="26">
        <v>0.1682413831661137</v>
      </c>
      <c r="Q94" s="26">
        <v>0.16800000000000001</v>
      </c>
      <c r="R94" s="30"/>
      <c r="S94" s="27"/>
      <c r="T94" s="27">
        <v>0.16800000000000001</v>
      </c>
      <c r="U94" s="27">
        <f t="shared" si="19"/>
        <v>0.20328000000000002</v>
      </c>
    </row>
    <row r="95" spans="1:44">
      <c r="A95" s="65">
        <v>87</v>
      </c>
      <c r="B95" s="26" t="s">
        <v>156</v>
      </c>
      <c r="C95" s="78">
        <v>9.07</v>
      </c>
      <c r="D95" s="27">
        <f t="shared" si="3"/>
        <v>1.2093333333333333E-3</v>
      </c>
      <c r="E95" s="28">
        <v>230.49</v>
      </c>
      <c r="F95" s="27">
        <f t="shared" si="1"/>
        <v>0.12805</v>
      </c>
      <c r="G95" s="27">
        <f t="shared" si="20"/>
        <v>0.12925933333333334</v>
      </c>
      <c r="H95" s="27">
        <f t="shared" si="17"/>
        <v>108.57784000000001</v>
      </c>
      <c r="I95" s="27">
        <f t="shared" si="21"/>
        <v>10.857784000000002</v>
      </c>
      <c r="J95" s="27">
        <f t="shared" si="22"/>
        <v>10.857784000000002</v>
      </c>
      <c r="K95" s="27">
        <f t="shared" si="23"/>
        <v>130.29340800000003</v>
      </c>
      <c r="L95" s="27">
        <f t="shared" si="24"/>
        <v>2.3973987072000003</v>
      </c>
      <c r="M95" s="27">
        <f t="shared" si="25"/>
        <v>0.93325238666666666</v>
      </c>
      <c r="N95" s="27">
        <f t="shared" si="26"/>
        <v>21.064100960000001</v>
      </c>
      <c r="O95" s="27">
        <f t="shared" si="27"/>
        <v>154.68816005386671</v>
      </c>
      <c r="P95" s="27">
        <f t="shared" si="28"/>
        <v>6.1875264021546688</v>
      </c>
      <c r="Q95" s="28">
        <f t="shared" si="29"/>
        <v>160.87568645602138</v>
      </c>
      <c r="R95" s="31">
        <v>1966.74</v>
      </c>
      <c r="S95" s="27">
        <f t="shared" si="30"/>
        <v>8.1798146402687386E-2</v>
      </c>
      <c r="T95" s="27">
        <f t="shared" si="18"/>
        <v>8.2000000000000003E-2</v>
      </c>
      <c r="U95" s="27">
        <f t="shared" si="19"/>
        <v>9.9220000000000003E-2</v>
      </c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:44" s="45" customFormat="1">
      <c r="A96" s="65">
        <v>88</v>
      </c>
      <c r="B96" s="26" t="s">
        <v>157</v>
      </c>
      <c r="C96" s="78">
        <v>9.61</v>
      </c>
      <c r="D96" s="27">
        <f t="shared" si="3"/>
        <v>1.2813333333333333E-3</v>
      </c>
      <c r="E96" s="28">
        <v>230.51</v>
      </c>
      <c r="F96" s="27">
        <f t="shared" si="1"/>
        <v>0.1280611111111111</v>
      </c>
      <c r="G96" s="27">
        <f t="shared" si="20"/>
        <v>0.12934244444444443</v>
      </c>
      <c r="H96" s="27">
        <f t="shared" si="17"/>
        <v>108.64765333333332</v>
      </c>
      <c r="I96" s="27">
        <f t="shared" si="21"/>
        <v>10.864765333333333</v>
      </c>
      <c r="J96" s="27">
        <f t="shared" si="22"/>
        <v>10.864765333333333</v>
      </c>
      <c r="K96" s="27">
        <f t="shared" si="23"/>
        <v>130.377184</v>
      </c>
      <c r="L96" s="27">
        <f t="shared" si="24"/>
        <v>2.3989401855999999</v>
      </c>
      <c r="M96" s="27">
        <f t="shared" si="25"/>
        <v>0.93385244888888874</v>
      </c>
      <c r="N96" s="27">
        <f t="shared" si="26"/>
        <v>21.077644746666664</v>
      </c>
      <c r="O96" s="27">
        <f t="shared" si="27"/>
        <v>154.78762138115556</v>
      </c>
      <c r="P96" s="27">
        <f t="shared" si="28"/>
        <v>6.1915048552462224</v>
      </c>
      <c r="Q96" s="28">
        <f t="shared" si="29"/>
        <v>160.97912623640178</v>
      </c>
      <c r="R96" s="30">
        <v>1973.45</v>
      </c>
      <c r="S96" s="27">
        <f t="shared" si="30"/>
        <v>8.1572437222327279E-2</v>
      </c>
      <c r="T96" s="27">
        <f t="shared" si="18"/>
        <v>8.2000000000000003E-2</v>
      </c>
      <c r="U96" s="27">
        <f t="shared" si="19"/>
        <v>9.9220000000000003E-2</v>
      </c>
    </row>
    <row r="97" spans="1:44" s="45" customFormat="1">
      <c r="A97" s="65">
        <v>89</v>
      </c>
      <c r="B97" s="26" t="s">
        <v>158</v>
      </c>
      <c r="C97" s="83">
        <f>1.88+1.89</f>
        <v>3.7699999999999996</v>
      </c>
      <c r="D97" s="27">
        <f t="shared" si="3"/>
        <v>5.0266666666666656E-4</v>
      </c>
      <c r="E97" s="73">
        <f>111.95+111.96</f>
        <v>223.91</v>
      </c>
      <c r="F97" s="27">
        <f t="shared" si="1"/>
        <v>0.12439444444444445</v>
      </c>
      <c r="G97" s="27">
        <f t="shared" si="20"/>
        <v>0.12489711111111111</v>
      </c>
      <c r="H97" s="27">
        <f t="shared" si="17"/>
        <v>104.91357333333333</v>
      </c>
      <c r="I97" s="27">
        <f t="shared" si="21"/>
        <v>10.491357333333333</v>
      </c>
      <c r="J97" s="27">
        <f t="shared" si="22"/>
        <v>10.491357333333333</v>
      </c>
      <c r="K97" s="27">
        <f t="shared" si="23"/>
        <v>125.896288</v>
      </c>
      <c r="L97" s="27">
        <f t="shared" si="24"/>
        <v>2.3164916991999998</v>
      </c>
      <c r="M97" s="27">
        <f t="shared" si="25"/>
        <v>0.90175714222222214</v>
      </c>
      <c r="N97" s="27">
        <f t="shared" si="26"/>
        <v>20.353233226666667</v>
      </c>
      <c r="O97" s="27">
        <f t="shared" si="27"/>
        <v>149.46777006808887</v>
      </c>
      <c r="P97" s="27">
        <f t="shared" si="28"/>
        <v>5.9787108027235547</v>
      </c>
      <c r="Q97" s="28">
        <f t="shared" si="29"/>
        <v>155.44648087081242</v>
      </c>
      <c r="R97" s="31">
        <f>1103.68+1070.45</f>
        <v>2174.13</v>
      </c>
      <c r="S97" s="27">
        <f t="shared" si="30"/>
        <v>7.1498245675655284E-2</v>
      </c>
      <c r="T97" s="27">
        <f t="shared" si="18"/>
        <v>7.0999999999999994E-2</v>
      </c>
      <c r="U97" s="27">
        <f t="shared" si="19"/>
        <v>8.5909999999999986E-2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>
      <c r="A98" s="65">
        <v>90</v>
      </c>
      <c r="B98" s="26" t="s">
        <v>159</v>
      </c>
      <c r="C98" s="78">
        <f>2.04+2.04</f>
        <v>4.08</v>
      </c>
      <c r="D98" s="27">
        <f t="shared" si="3"/>
        <v>5.44E-4</v>
      </c>
      <c r="E98" s="28">
        <f>112.28+112.28</f>
        <v>224.56</v>
      </c>
      <c r="F98" s="27">
        <f t="shared" si="1"/>
        <v>0.12475555555555555</v>
      </c>
      <c r="G98" s="27">
        <f t="shared" si="20"/>
        <v>0.12529955555555555</v>
      </c>
      <c r="H98" s="27">
        <f t="shared" si="17"/>
        <v>105.25162666666667</v>
      </c>
      <c r="I98" s="27">
        <f t="shared" si="21"/>
        <v>10.525162666666667</v>
      </c>
      <c r="J98" s="27">
        <f t="shared" si="22"/>
        <v>10.525162666666667</v>
      </c>
      <c r="K98" s="27">
        <f t="shared" si="23"/>
        <v>126.301952</v>
      </c>
      <c r="L98" s="27">
        <f t="shared" si="24"/>
        <v>2.3239559168000001</v>
      </c>
      <c r="M98" s="27">
        <f t="shared" si="25"/>
        <v>0.90466279111111103</v>
      </c>
      <c r="N98" s="27">
        <f t="shared" si="26"/>
        <v>20.418815573333333</v>
      </c>
      <c r="O98" s="27">
        <f t="shared" si="27"/>
        <v>149.94938628124447</v>
      </c>
      <c r="P98" s="27">
        <f t="shared" si="28"/>
        <v>5.9979754512497792</v>
      </c>
      <c r="Q98" s="28">
        <f t="shared" si="29"/>
        <v>155.94736173249424</v>
      </c>
      <c r="R98" s="31">
        <f>1075.32+1096.35</f>
        <v>2171.67</v>
      </c>
      <c r="S98" s="27">
        <f t="shared" si="30"/>
        <v>7.1809879830956935E-2</v>
      </c>
      <c r="T98" s="27">
        <f t="shared" si="18"/>
        <v>7.1999999999999995E-2</v>
      </c>
      <c r="U98" s="27">
        <f t="shared" si="19"/>
        <v>8.7119999999999989E-2</v>
      </c>
    </row>
    <row r="99" spans="1:44">
      <c r="A99" s="65">
        <v>91</v>
      </c>
      <c r="B99" s="26" t="s">
        <v>160</v>
      </c>
      <c r="C99" s="78">
        <v>4.67</v>
      </c>
      <c r="D99" s="27">
        <f t="shared" si="3"/>
        <v>6.2266666666666666E-4</v>
      </c>
      <c r="E99" s="28">
        <v>225.43</v>
      </c>
      <c r="F99" s="27">
        <f t="shared" si="1"/>
        <v>0.1252388888888889</v>
      </c>
      <c r="G99" s="27">
        <f t="shared" si="20"/>
        <v>0.12586155555555556</v>
      </c>
      <c r="H99" s="27">
        <f t="shared" si="17"/>
        <v>105.72370666666667</v>
      </c>
      <c r="I99" s="27">
        <f t="shared" si="21"/>
        <v>10.572370666666668</v>
      </c>
      <c r="J99" s="27">
        <f t="shared" si="22"/>
        <v>10.572370666666668</v>
      </c>
      <c r="K99" s="27">
        <f t="shared" si="23"/>
        <v>126.86844800000001</v>
      </c>
      <c r="L99" s="27">
        <f t="shared" si="24"/>
        <v>2.3343794432</v>
      </c>
      <c r="M99" s="27">
        <f t="shared" si="25"/>
        <v>0.90872043111111112</v>
      </c>
      <c r="N99" s="27">
        <f t="shared" si="26"/>
        <v>20.510399093333334</v>
      </c>
      <c r="O99" s="27">
        <f t="shared" si="27"/>
        <v>150.62194696764448</v>
      </c>
      <c r="P99" s="27">
        <f t="shared" si="28"/>
        <v>6.0248778787057793</v>
      </c>
      <c r="Q99" s="28">
        <f t="shared" si="29"/>
        <v>156.64682484635026</v>
      </c>
      <c r="R99" s="30">
        <v>2170.2600000000002</v>
      </c>
      <c r="S99" s="27">
        <f t="shared" si="30"/>
        <v>7.2178828733124256E-2</v>
      </c>
      <c r="T99" s="27">
        <f t="shared" si="18"/>
        <v>7.1999999999999995E-2</v>
      </c>
      <c r="U99" s="27">
        <f t="shared" si="19"/>
        <v>8.7119999999999989E-2</v>
      </c>
    </row>
    <row r="100" spans="1:44">
      <c r="A100" s="65">
        <v>92</v>
      </c>
      <c r="B100" s="26" t="s">
        <v>161</v>
      </c>
      <c r="C100" s="78">
        <v>6.71</v>
      </c>
      <c r="D100" s="27">
        <f t="shared" si="3"/>
        <v>8.9466666666666666E-4</v>
      </c>
      <c r="E100" s="28">
        <v>340.19</v>
      </c>
      <c r="F100" s="27">
        <f t="shared" si="1"/>
        <v>0.18899444444444444</v>
      </c>
      <c r="G100" s="27">
        <f t="shared" si="20"/>
        <v>0.18988911111111109</v>
      </c>
      <c r="H100" s="27">
        <f t="shared" si="17"/>
        <v>159.50685333333331</v>
      </c>
      <c r="I100" s="27">
        <f t="shared" si="21"/>
        <v>15.950685333333332</v>
      </c>
      <c r="J100" s="27">
        <f t="shared" si="22"/>
        <v>15.950685333333332</v>
      </c>
      <c r="K100" s="27">
        <f t="shared" si="23"/>
        <v>191.40822399999996</v>
      </c>
      <c r="L100" s="27">
        <f t="shared" si="24"/>
        <v>3.5219113215999993</v>
      </c>
      <c r="M100" s="27">
        <f t="shared" si="25"/>
        <v>1.370999382222222</v>
      </c>
      <c r="N100" s="27">
        <f t="shared" si="26"/>
        <v>30.944329546666662</v>
      </c>
      <c r="O100" s="27">
        <f t="shared" si="27"/>
        <v>227.24546425048882</v>
      </c>
      <c r="P100" s="27">
        <f t="shared" si="28"/>
        <v>9.0898185700195526</v>
      </c>
      <c r="Q100" s="28">
        <f t="shared" si="29"/>
        <v>236.33528282050838</v>
      </c>
      <c r="R100" s="30">
        <v>3275.1</v>
      </c>
      <c r="S100" s="27">
        <f t="shared" si="30"/>
        <v>7.2161241739338772E-2</v>
      </c>
      <c r="T100" s="27">
        <f t="shared" si="18"/>
        <v>7.1999999999999995E-2</v>
      </c>
      <c r="U100" s="27">
        <f t="shared" si="19"/>
        <v>8.7119999999999989E-2</v>
      </c>
    </row>
    <row r="101" spans="1:44">
      <c r="A101" s="65">
        <v>93</v>
      </c>
      <c r="B101" s="26" t="s">
        <v>162</v>
      </c>
      <c r="C101" s="78">
        <v>7.74</v>
      </c>
      <c r="D101" s="27">
        <f t="shared" si="3"/>
        <v>1.0319999999999999E-3</v>
      </c>
      <c r="E101" s="28">
        <v>244.91</v>
      </c>
      <c r="F101" s="27">
        <f t="shared" si="1"/>
        <v>0.1360611111111111</v>
      </c>
      <c r="G101" s="27">
        <f t="shared" si="20"/>
        <v>0.13709311111111111</v>
      </c>
      <c r="H101" s="27">
        <f t="shared" si="17"/>
        <v>115.15821333333334</v>
      </c>
      <c r="I101" s="27">
        <f t="shared" si="21"/>
        <v>11.515821333333335</v>
      </c>
      <c r="J101" s="27">
        <f t="shared" si="22"/>
        <v>11.515821333333335</v>
      </c>
      <c r="K101" s="27">
        <f t="shared" si="23"/>
        <v>138.18985600000002</v>
      </c>
      <c r="L101" s="27">
        <f t="shared" si="24"/>
        <v>2.5426933504000004</v>
      </c>
      <c r="M101" s="27">
        <f t="shared" si="25"/>
        <v>0.98981226222222218</v>
      </c>
      <c r="N101" s="27">
        <f t="shared" si="26"/>
        <v>22.340693386666668</v>
      </c>
      <c r="O101" s="27">
        <f t="shared" si="27"/>
        <v>164.06305499928888</v>
      </c>
      <c r="P101" s="27">
        <f t="shared" si="28"/>
        <v>6.5625221999715553</v>
      </c>
      <c r="Q101" s="28">
        <f t="shared" si="29"/>
        <v>170.62557719926045</v>
      </c>
      <c r="R101" s="30">
        <v>1953.3</v>
      </c>
      <c r="S101" s="27">
        <f t="shared" si="30"/>
        <v>8.7352468744821818E-2</v>
      </c>
      <c r="T101" s="27">
        <f t="shared" si="18"/>
        <v>8.6999999999999994E-2</v>
      </c>
      <c r="U101" s="27">
        <f t="shared" si="19"/>
        <v>0.10526999999999999</v>
      </c>
    </row>
    <row r="102" spans="1:44">
      <c r="A102" s="65">
        <v>94</v>
      </c>
      <c r="B102" s="26" t="s">
        <v>163</v>
      </c>
      <c r="C102" s="78">
        <v>2.68</v>
      </c>
      <c r="D102" s="27">
        <f t="shared" si="3"/>
        <v>3.5733333333333336E-4</v>
      </c>
      <c r="E102" s="28">
        <v>115.21</v>
      </c>
      <c r="F102" s="27">
        <f t="shared" ref="F102:F151" si="31">E102/1800</f>
        <v>6.4005555555555552E-2</v>
      </c>
      <c r="G102" s="27">
        <f t="shared" si="20"/>
        <v>6.4362888888888886E-2</v>
      </c>
      <c r="H102" s="27">
        <f t="shared" si="17"/>
        <v>54.064826666666661</v>
      </c>
      <c r="I102" s="27">
        <f t="shared" si="21"/>
        <v>5.4064826666666663</v>
      </c>
      <c r="J102" s="27">
        <f t="shared" si="22"/>
        <v>5.4064826666666663</v>
      </c>
      <c r="K102" s="27">
        <f t="shared" si="23"/>
        <v>64.877791999999999</v>
      </c>
      <c r="L102" s="27">
        <f t="shared" si="24"/>
        <v>1.1937513728</v>
      </c>
      <c r="M102" s="27">
        <f t="shared" si="25"/>
        <v>0.46470005777777773</v>
      </c>
      <c r="N102" s="27">
        <f t="shared" si="26"/>
        <v>10.488576373333332</v>
      </c>
      <c r="O102" s="27">
        <f t="shared" si="27"/>
        <v>77.0248198039111</v>
      </c>
      <c r="P102" s="27">
        <f t="shared" si="28"/>
        <v>3.0809927921564442</v>
      </c>
      <c r="Q102" s="28">
        <f t="shared" si="29"/>
        <v>80.105812596067551</v>
      </c>
      <c r="R102" s="30">
        <v>987.4</v>
      </c>
      <c r="S102" s="27">
        <f t="shared" si="30"/>
        <v>8.1128025720141328E-2</v>
      </c>
      <c r="T102" s="27">
        <f t="shared" si="18"/>
        <v>8.1000000000000003E-2</v>
      </c>
      <c r="U102" s="27">
        <f t="shared" si="19"/>
        <v>9.801E-2</v>
      </c>
    </row>
    <row r="103" spans="1:44">
      <c r="A103" s="65">
        <v>95</v>
      </c>
      <c r="B103" s="26" t="s">
        <v>164</v>
      </c>
      <c r="C103" s="78">
        <v>2.15</v>
      </c>
      <c r="D103" s="27">
        <f t="shared" si="3"/>
        <v>2.8666666666666668E-4</v>
      </c>
      <c r="E103" s="28">
        <v>112.64</v>
      </c>
      <c r="F103" s="27">
        <f t="shared" si="31"/>
        <v>6.2577777777777774E-2</v>
      </c>
      <c r="G103" s="27">
        <f t="shared" si="20"/>
        <v>6.2864444444444445E-2</v>
      </c>
      <c r="H103" s="27">
        <f t="shared" si="17"/>
        <v>52.806133333333335</v>
      </c>
      <c r="I103" s="27">
        <f t="shared" si="21"/>
        <v>5.280613333333334</v>
      </c>
      <c r="J103" s="27">
        <f t="shared" si="22"/>
        <v>5.280613333333334</v>
      </c>
      <c r="K103" s="27">
        <f t="shared" si="23"/>
        <v>63.367360000000005</v>
      </c>
      <c r="L103" s="27">
        <f t="shared" si="24"/>
        <v>1.165959424</v>
      </c>
      <c r="M103" s="27">
        <f t="shared" si="25"/>
        <v>0.4538812888888889</v>
      </c>
      <c r="N103" s="27">
        <f t="shared" si="26"/>
        <v>10.244389866666667</v>
      </c>
      <c r="O103" s="27">
        <f t="shared" si="27"/>
        <v>75.231590579555558</v>
      </c>
      <c r="P103" s="27">
        <f t="shared" si="28"/>
        <v>3.0092636231822225</v>
      </c>
      <c r="Q103" s="28">
        <f t="shared" si="29"/>
        <v>78.240854202737779</v>
      </c>
      <c r="R103" s="30">
        <v>1073.24</v>
      </c>
      <c r="S103" s="27">
        <f t="shared" si="30"/>
        <v>7.2901545043734653E-2</v>
      </c>
      <c r="T103" s="27">
        <f t="shared" si="18"/>
        <v>7.2999999999999995E-2</v>
      </c>
      <c r="U103" s="27">
        <f t="shared" si="19"/>
        <v>8.8329999999999992E-2</v>
      </c>
    </row>
    <row r="104" spans="1:44">
      <c r="A104" s="65">
        <v>96</v>
      </c>
      <c r="B104" s="26" t="s">
        <v>165</v>
      </c>
      <c r="C104" s="78">
        <f>2.95+2.95</f>
        <v>5.9</v>
      </c>
      <c r="D104" s="27">
        <f t="shared" si="3"/>
        <v>7.8666666666666674E-4</v>
      </c>
      <c r="E104" s="28">
        <f>115.15+115.15</f>
        <v>230.3</v>
      </c>
      <c r="F104" s="27">
        <f t="shared" si="31"/>
        <v>0.12794444444444444</v>
      </c>
      <c r="G104" s="27">
        <f t="shared" si="20"/>
        <v>0.1287311111111111</v>
      </c>
      <c r="H104" s="27">
        <f t="shared" si="17"/>
        <v>108.13413333333332</v>
      </c>
      <c r="I104" s="27">
        <f t="shared" si="21"/>
        <v>10.813413333333333</v>
      </c>
      <c r="J104" s="27">
        <f t="shared" si="22"/>
        <v>10.813413333333333</v>
      </c>
      <c r="K104" s="27">
        <f t="shared" si="23"/>
        <v>129.76095999999998</v>
      </c>
      <c r="L104" s="27">
        <f t="shared" si="24"/>
        <v>2.3876016639999995</v>
      </c>
      <c r="M104" s="27">
        <f t="shared" si="25"/>
        <v>0.92943862222222218</v>
      </c>
      <c r="N104" s="27">
        <f t="shared" si="26"/>
        <v>20.978021866666666</v>
      </c>
      <c r="O104" s="27">
        <f t="shared" si="27"/>
        <v>154.05602215288886</v>
      </c>
      <c r="P104" s="27">
        <f t="shared" si="28"/>
        <v>6.1622408861155549</v>
      </c>
      <c r="Q104" s="28">
        <f t="shared" si="29"/>
        <v>160.2182630390044</v>
      </c>
      <c r="R104" s="30">
        <v>1981.55</v>
      </c>
      <c r="S104" s="27">
        <f t="shared" si="30"/>
        <v>8.0855019070426887E-2</v>
      </c>
      <c r="T104" s="27">
        <f t="shared" si="18"/>
        <v>8.1000000000000003E-2</v>
      </c>
      <c r="U104" s="27">
        <f t="shared" si="19"/>
        <v>9.801E-2</v>
      </c>
    </row>
    <row r="105" spans="1:44">
      <c r="A105" s="65">
        <v>97</v>
      </c>
      <c r="B105" s="26" t="s">
        <v>166</v>
      </c>
      <c r="C105" s="78">
        <f>6.05+6.05+12.11</f>
        <v>24.21</v>
      </c>
      <c r="D105" s="27">
        <f t="shared" si="3"/>
        <v>3.228E-3</v>
      </c>
      <c r="E105" s="28">
        <f>63.75+63.75+127.52</f>
        <v>255.01999999999998</v>
      </c>
      <c r="F105" s="27">
        <f t="shared" si="31"/>
        <v>0.14167777777777776</v>
      </c>
      <c r="G105" s="27">
        <f t="shared" si="20"/>
        <v>0.14490577777777777</v>
      </c>
      <c r="H105" s="27">
        <f t="shared" si="17"/>
        <v>121.72085333333332</v>
      </c>
      <c r="I105" s="27">
        <f t="shared" si="21"/>
        <v>12.172085333333333</v>
      </c>
      <c r="J105" s="27">
        <f t="shared" si="22"/>
        <v>12.172085333333333</v>
      </c>
      <c r="K105" s="27">
        <f t="shared" si="23"/>
        <v>146.06502399999999</v>
      </c>
      <c r="L105" s="27">
        <f t="shared" si="24"/>
        <v>2.6875964415999998</v>
      </c>
      <c r="M105" s="27">
        <f t="shared" si="25"/>
        <v>1.0462197155555555</v>
      </c>
      <c r="N105" s="27">
        <f t="shared" si="26"/>
        <v>23.613845546666667</v>
      </c>
      <c r="O105" s="27">
        <f t="shared" si="27"/>
        <v>173.41268570382221</v>
      </c>
      <c r="P105" s="27">
        <f t="shared" si="28"/>
        <v>6.936507428152888</v>
      </c>
      <c r="Q105" s="28">
        <f t="shared" si="29"/>
        <v>180.34919313197508</v>
      </c>
      <c r="R105" s="30">
        <v>2725.37</v>
      </c>
      <c r="S105" s="27">
        <f t="shared" si="30"/>
        <v>6.6174205018758953E-2</v>
      </c>
      <c r="T105" s="27">
        <f t="shared" si="18"/>
        <v>6.6000000000000003E-2</v>
      </c>
      <c r="U105" s="27">
        <f t="shared" si="19"/>
        <v>7.986E-2</v>
      </c>
    </row>
    <row r="106" spans="1:44">
      <c r="A106" s="65">
        <v>98</v>
      </c>
      <c r="B106" s="26" t="s">
        <v>167</v>
      </c>
      <c r="C106" s="78">
        <v>1.98</v>
      </c>
      <c r="D106" s="27">
        <f t="shared" si="3"/>
        <v>2.6400000000000002E-4</v>
      </c>
      <c r="E106" s="25">
        <v>112.77</v>
      </c>
      <c r="F106" s="27">
        <f t="shared" si="31"/>
        <v>6.2649999999999997E-2</v>
      </c>
      <c r="G106" s="27">
        <f t="shared" si="20"/>
        <v>6.2913999999999998E-2</v>
      </c>
      <c r="H106" s="27">
        <f t="shared" si="17"/>
        <v>52.847760000000001</v>
      </c>
      <c r="I106" s="27">
        <f t="shared" si="21"/>
        <v>5.2847760000000008</v>
      </c>
      <c r="J106" s="27">
        <f t="shared" si="22"/>
        <v>5.2847760000000008</v>
      </c>
      <c r="K106" s="27">
        <f t="shared" si="23"/>
        <v>63.417312000000003</v>
      </c>
      <c r="L106" s="27">
        <f t="shared" si="24"/>
        <v>1.1668785408</v>
      </c>
      <c r="M106" s="27">
        <f t="shared" si="25"/>
        <v>0.45423907999999996</v>
      </c>
      <c r="N106" s="27">
        <f t="shared" si="26"/>
        <v>10.25246544</v>
      </c>
      <c r="O106" s="27">
        <f t="shared" si="27"/>
        <v>75.290895060799997</v>
      </c>
      <c r="P106" s="27">
        <f t="shared" si="28"/>
        <v>3.011635802432</v>
      </c>
      <c r="Q106" s="28">
        <f t="shared" si="29"/>
        <v>78.302530863231993</v>
      </c>
      <c r="R106" s="36">
        <v>1072.45</v>
      </c>
      <c r="S106" s="27">
        <f t="shared" si="30"/>
        <v>7.3012756644348906E-2</v>
      </c>
      <c r="T106" s="27">
        <f t="shared" si="18"/>
        <v>7.2999999999999995E-2</v>
      </c>
      <c r="U106" s="27">
        <f t="shared" si="19"/>
        <v>8.8329999999999992E-2</v>
      </c>
    </row>
    <row r="107" spans="1:44">
      <c r="A107" s="65">
        <v>99</v>
      </c>
      <c r="B107" s="26" t="s">
        <v>233</v>
      </c>
      <c r="C107" s="78">
        <v>2.5299999999999998</v>
      </c>
      <c r="D107" s="27">
        <f t="shared" si="3"/>
        <v>3.3733333333333331E-4</v>
      </c>
      <c r="E107" s="25">
        <v>111.48</v>
      </c>
      <c r="F107" s="27">
        <f t="shared" si="31"/>
        <v>6.1933333333333333E-2</v>
      </c>
      <c r="G107" s="27">
        <f t="shared" si="20"/>
        <v>6.2270666666666669E-2</v>
      </c>
      <c r="H107" s="27">
        <f t="shared" si="17"/>
        <v>52.307360000000003</v>
      </c>
      <c r="I107" s="27">
        <f t="shared" si="21"/>
        <v>5.2307360000000003</v>
      </c>
      <c r="J107" s="27">
        <f t="shared" si="22"/>
        <v>5.2307360000000003</v>
      </c>
      <c r="K107" s="27">
        <f t="shared" si="23"/>
        <v>62.768832000000003</v>
      </c>
      <c r="L107" s="27">
        <f t="shared" si="24"/>
        <v>1.1549465087999999</v>
      </c>
      <c r="M107" s="27">
        <f t="shared" si="25"/>
        <v>0.44959421333333333</v>
      </c>
      <c r="N107" s="27">
        <f t="shared" si="26"/>
        <v>10.14762784</v>
      </c>
      <c r="O107" s="27">
        <f t="shared" si="27"/>
        <v>74.521000562133338</v>
      </c>
      <c r="P107" s="27">
        <f t="shared" si="28"/>
        <v>2.9808400224853338</v>
      </c>
      <c r="Q107" s="28">
        <f t="shared" si="29"/>
        <v>77.501840584618677</v>
      </c>
      <c r="R107" s="36">
        <v>1067.92</v>
      </c>
      <c r="S107" s="27">
        <f t="shared" si="30"/>
        <v>7.2572702622498569E-2</v>
      </c>
      <c r="T107" s="27">
        <f t="shared" si="18"/>
        <v>7.2999999999999995E-2</v>
      </c>
      <c r="U107" s="27">
        <f t="shared" si="19"/>
        <v>8.8329999999999992E-2</v>
      </c>
    </row>
    <row r="108" spans="1:44">
      <c r="A108" s="65">
        <v>100</v>
      </c>
      <c r="B108" s="26" t="s">
        <v>168</v>
      </c>
      <c r="C108" s="78">
        <v>2.0099999999999998</v>
      </c>
      <c r="D108" s="27">
        <f t="shared" si="3"/>
        <v>2.6799999999999995E-4</v>
      </c>
      <c r="E108" s="25">
        <v>111.42</v>
      </c>
      <c r="F108" s="27">
        <f t="shared" si="31"/>
        <v>6.1900000000000004E-2</v>
      </c>
      <c r="G108" s="27">
        <f t="shared" si="20"/>
        <v>6.2168000000000001E-2</v>
      </c>
      <c r="H108" s="27">
        <f t="shared" si="17"/>
        <v>52.221119999999999</v>
      </c>
      <c r="I108" s="27">
        <f t="shared" si="21"/>
        <v>5.2221120000000001</v>
      </c>
      <c r="J108" s="27">
        <f t="shared" si="22"/>
        <v>5.2221120000000001</v>
      </c>
      <c r="K108" s="27">
        <f t="shared" si="23"/>
        <v>62.665344000000005</v>
      </c>
      <c r="L108" s="27">
        <f t="shared" si="24"/>
        <v>1.1530423296000001</v>
      </c>
      <c r="M108" s="27">
        <f t="shared" si="25"/>
        <v>0.44885295999999997</v>
      </c>
      <c r="N108" s="27">
        <f t="shared" si="26"/>
        <v>10.130897280000001</v>
      </c>
      <c r="O108" s="27">
        <f t="shared" si="27"/>
        <v>74.398136569599998</v>
      </c>
      <c r="P108" s="27">
        <f t="shared" si="28"/>
        <v>2.9759254627840002</v>
      </c>
      <c r="Q108" s="28">
        <f t="shared" si="29"/>
        <v>77.374062032384003</v>
      </c>
      <c r="R108" s="36">
        <v>1065.5</v>
      </c>
      <c r="S108" s="27">
        <f t="shared" si="30"/>
        <v>7.2617608664837172E-2</v>
      </c>
      <c r="T108" s="27">
        <f t="shared" si="18"/>
        <v>7.2999999999999995E-2</v>
      </c>
      <c r="U108" s="27">
        <f t="shared" si="19"/>
        <v>8.8329999999999992E-2</v>
      </c>
    </row>
    <row r="109" spans="1:44">
      <c r="A109" s="65">
        <v>101</v>
      </c>
      <c r="B109" s="26" t="s">
        <v>214</v>
      </c>
      <c r="C109">
        <v>0.71645186359475121</v>
      </c>
      <c r="D109">
        <v>601.81956541959107</v>
      </c>
      <c r="E109">
        <v>60.18195654195911</v>
      </c>
      <c r="F109">
        <v>60.18195654195911</v>
      </c>
      <c r="G109">
        <v>722.18347850350938</v>
      </c>
      <c r="H109">
        <v>13.288176004464573</v>
      </c>
      <c r="I109"/>
      <c r="J109">
        <v>5.1727824551541035</v>
      </c>
      <c r="K109">
        <v>116.75299569140067</v>
      </c>
      <c r="L109">
        <v>857.39743265452876</v>
      </c>
      <c r="M109">
        <v>34.295897306181153</v>
      </c>
      <c r="N109">
        <v>891.69332996070989</v>
      </c>
      <c r="O109">
        <v>5211.1099999999997</v>
      </c>
      <c r="P109">
        <v>0.17111389511269384</v>
      </c>
      <c r="Q109">
        <v>0.17100000000000001</v>
      </c>
      <c r="R109" s="36"/>
      <c r="S109" s="27"/>
      <c r="T109" s="27">
        <v>0.17100000000000001</v>
      </c>
      <c r="U109" s="27">
        <f t="shared" si="19"/>
        <v>0.20691000000000001</v>
      </c>
    </row>
    <row r="110" spans="1:44">
      <c r="A110" s="65">
        <v>102</v>
      </c>
      <c r="B110" s="26" t="s">
        <v>169</v>
      </c>
      <c r="C110" s="78">
        <v>6.68</v>
      </c>
      <c r="D110" s="27">
        <f t="shared" si="3"/>
        <v>8.9066666666666667E-4</v>
      </c>
      <c r="E110" s="28">
        <v>232</v>
      </c>
      <c r="F110" s="27">
        <f t="shared" si="31"/>
        <v>0.12888888888888889</v>
      </c>
      <c r="G110" s="27">
        <f t="shared" si="20"/>
        <v>0.12977955555555556</v>
      </c>
      <c r="H110" s="27">
        <f t="shared" si="17"/>
        <v>109.01482666666668</v>
      </c>
      <c r="I110" s="27">
        <f t="shared" si="21"/>
        <v>10.901482666666668</v>
      </c>
      <c r="J110" s="27">
        <f t="shared" si="22"/>
        <v>10.901482666666668</v>
      </c>
      <c r="K110" s="27">
        <f t="shared" si="23"/>
        <v>130.81779200000003</v>
      </c>
      <c r="L110" s="27">
        <f t="shared" si="24"/>
        <v>2.4070473728000006</v>
      </c>
      <c r="M110" s="27">
        <f t="shared" si="25"/>
        <v>0.93700839111111112</v>
      </c>
      <c r="N110" s="27">
        <f t="shared" si="26"/>
        <v>21.148876373333337</v>
      </c>
      <c r="O110" s="27">
        <f t="shared" si="27"/>
        <v>155.31072413724448</v>
      </c>
      <c r="P110" s="27">
        <f t="shared" si="28"/>
        <v>6.2124289654897789</v>
      </c>
      <c r="Q110" s="28">
        <f t="shared" si="29"/>
        <v>161.52315310273426</v>
      </c>
      <c r="R110" s="36">
        <v>1974.08</v>
      </c>
      <c r="S110" s="27">
        <f t="shared" si="30"/>
        <v>8.1821989535750456E-2</v>
      </c>
      <c r="T110" s="27">
        <f t="shared" si="18"/>
        <v>8.2000000000000003E-2</v>
      </c>
      <c r="U110" s="27">
        <f t="shared" si="19"/>
        <v>9.9220000000000003E-2</v>
      </c>
    </row>
    <row r="111" spans="1:44">
      <c r="A111" s="65">
        <v>103</v>
      </c>
      <c r="B111" s="26" t="s">
        <v>170</v>
      </c>
      <c r="C111" s="78">
        <v>3.6</v>
      </c>
      <c r="D111" s="27">
        <f t="shared" si="3"/>
        <v>4.8000000000000001E-4</v>
      </c>
      <c r="E111" s="28">
        <v>115.5</v>
      </c>
      <c r="F111" s="27">
        <f t="shared" si="31"/>
        <v>6.4166666666666664E-2</v>
      </c>
      <c r="G111" s="27">
        <f t="shared" si="20"/>
        <v>6.4646666666666658E-2</v>
      </c>
      <c r="H111" s="27">
        <f t="shared" si="17"/>
        <v>54.30319999999999</v>
      </c>
      <c r="I111" s="27">
        <f t="shared" si="21"/>
        <v>5.4303199999999991</v>
      </c>
      <c r="J111" s="27">
        <f t="shared" si="22"/>
        <v>5.4303199999999991</v>
      </c>
      <c r="K111" s="27">
        <f t="shared" si="23"/>
        <v>65.163839999999993</v>
      </c>
      <c r="L111" s="27">
        <f t="shared" si="24"/>
        <v>1.1990146559999999</v>
      </c>
      <c r="M111" s="27">
        <f t="shared" si="25"/>
        <v>0.46674893333333323</v>
      </c>
      <c r="N111" s="27">
        <f t="shared" si="26"/>
        <v>10.534820799999999</v>
      </c>
      <c r="O111" s="27">
        <f t="shared" si="27"/>
        <v>77.364424389333323</v>
      </c>
      <c r="P111" s="27">
        <f t="shared" si="28"/>
        <v>3.0945769755733328</v>
      </c>
      <c r="Q111" s="28">
        <f t="shared" si="29"/>
        <v>80.459001364906655</v>
      </c>
      <c r="R111" s="30">
        <v>987.4</v>
      </c>
      <c r="S111" s="27">
        <f t="shared" si="30"/>
        <v>8.1485721455242716E-2</v>
      </c>
      <c r="T111" s="27">
        <f t="shared" si="18"/>
        <v>8.1000000000000003E-2</v>
      </c>
      <c r="U111" s="27">
        <f t="shared" si="19"/>
        <v>9.801E-2</v>
      </c>
    </row>
    <row r="112" spans="1:44">
      <c r="A112" s="65">
        <v>104</v>
      </c>
      <c r="B112" s="26" t="s">
        <v>171</v>
      </c>
      <c r="C112" s="78">
        <v>3.52</v>
      </c>
      <c r="D112" s="27">
        <f t="shared" si="3"/>
        <v>4.6933333333333332E-4</v>
      </c>
      <c r="E112" s="28">
        <v>132.18</v>
      </c>
      <c r="F112" s="27">
        <f t="shared" si="31"/>
        <v>7.3433333333333337E-2</v>
      </c>
      <c r="G112" s="27">
        <f t="shared" si="20"/>
        <v>7.3902666666666672E-2</v>
      </c>
      <c r="H112" s="27">
        <f t="shared" si="17"/>
        <v>62.078240000000008</v>
      </c>
      <c r="I112" s="27">
        <f t="shared" si="21"/>
        <v>6.2078240000000013</v>
      </c>
      <c r="J112" s="27">
        <f t="shared" si="22"/>
        <v>6.2078240000000013</v>
      </c>
      <c r="K112" s="27">
        <f t="shared" si="23"/>
        <v>74.493888000000013</v>
      </c>
      <c r="L112" s="27">
        <f t="shared" si="24"/>
        <v>1.3706875392000002</v>
      </c>
      <c r="M112" s="27">
        <f t="shared" si="25"/>
        <v>0.53357725333333339</v>
      </c>
      <c r="N112" s="27">
        <f t="shared" si="26"/>
        <v>12.043178560000001</v>
      </c>
      <c r="O112" s="27">
        <f t="shared" si="27"/>
        <v>88.441331352533354</v>
      </c>
      <c r="P112" s="27">
        <f t="shared" si="28"/>
        <v>3.5376532541013344</v>
      </c>
      <c r="Q112" s="28">
        <f t="shared" si="29"/>
        <v>91.978984606634683</v>
      </c>
      <c r="R112" s="30">
        <v>970.25</v>
      </c>
      <c r="S112" s="27">
        <f t="shared" si="30"/>
        <v>9.4799262671099907E-2</v>
      </c>
      <c r="T112" s="27">
        <f t="shared" si="18"/>
        <v>9.5000000000000001E-2</v>
      </c>
      <c r="U112" s="27">
        <f t="shared" si="19"/>
        <v>0.11495</v>
      </c>
    </row>
    <row r="113" spans="1:21">
      <c r="A113" s="65">
        <v>105</v>
      </c>
      <c r="B113" s="26" t="s">
        <v>172</v>
      </c>
      <c r="C113" s="78">
        <v>6.21</v>
      </c>
      <c r="D113" s="27">
        <f t="shared" si="3"/>
        <v>8.2799999999999996E-4</v>
      </c>
      <c r="E113" s="28">
        <v>232.34</v>
      </c>
      <c r="F113" s="27">
        <f t="shared" si="31"/>
        <v>0.12907777777777779</v>
      </c>
      <c r="G113" s="27">
        <f t="shared" si="20"/>
        <v>0.12990577777777779</v>
      </c>
      <c r="H113" s="27">
        <f t="shared" si="17"/>
        <v>109.12085333333334</v>
      </c>
      <c r="I113" s="27">
        <f t="shared" si="21"/>
        <v>10.912085333333335</v>
      </c>
      <c r="J113" s="27">
        <f t="shared" si="22"/>
        <v>10.912085333333335</v>
      </c>
      <c r="K113" s="27">
        <f t="shared" si="23"/>
        <v>130.94502400000002</v>
      </c>
      <c r="L113" s="27">
        <f t="shared" si="24"/>
        <v>2.4093884416000004</v>
      </c>
      <c r="M113" s="27">
        <f t="shared" si="25"/>
        <v>0.93791971555555553</v>
      </c>
      <c r="N113" s="27">
        <f t="shared" si="26"/>
        <v>21.169445546666669</v>
      </c>
      <c r="O113" s="27">
        <f t="shared" si="27"/>
        <v>155.46177770382224</v>
      </c>
      <c r="P113" s="27">
        <f t="shared" si="28"/>
        <v>6.2184711081528894</v>
      </c>
      <c r="Q113" s="28">
        <f t="shared" si="29"/>
        <v>161.68024881197513</v>
      </c>
      <c r="R113" s="31">
        <v>1974.83</v>
      </c>
      <c r="S113" s="27">
        <f t="shared" si="30"/>
        <v>8.1870464197918366E-2</v>
      </c>
      <c r="T113" s="27">
        <f t="shared" si="18"/>
        <v>8.2000000000000003E-2</v>
      </c>
      <c r="U113" s="27">
        <f t="shared" si="19"/>
        <v>9.9220000000000003E-2</v>
      </c>
    </row>
    <row r="114" spans="1:21">
      <c r="A114" s="65">
        <v>106</v>
      </c>
      <c r="B114" s="26" t="s">
        <v>173</v>
      </c>
      <c r="C114" s="78">
        <v>5.63</v>
      </c>
      <c r="D114" s="27">
        <f t="shared" ref="D114:D151" si="32">C114/7500</f>
        <v>7.5066666666666663E-4</v>
      </c>
      <c r="E114" s="28">
        <v>232.31</v>
      </c>
      <c r="F114" s="27">
        <f t="shared" si="31"/>
        <v>0.1290611111111111</v>
      </c>
      <c r="G114" s="27">
        <f t="shared" si="20"/>
        <v>0.12981177777777778</v>
      </c>
      <c r="H114" s="27">
        <f t="shared" si="17"/>
        <v>109.04189333333333</v>
      </c>
      <c r="I114" s="27">
        <f t="shared" si="21"/>
        <v>10.904189333333335</v>
      </c>
      <c r="J114" s="27">
        <f t="shared" si="22"/>
        <v>10.904189333333335</v>
      </c>
      <c r="K114" s="27">
        <f t="shared" si="23"/>
        <v>130.85027200000002</v>
      </c>
      <c r="L114" s="27">
        <f t="shared" si="24"/>
        <v>2.4076450048000004</v>
      </c>
      <c r="M114" s="27">
        <f t="shared" si="25"/>
        <v>0.93724103555555549</v>
      </c>
      <c r="N114" s="27">
        <f t="shared" si="26"/>
        <v>21.154127306666666</v>
      </c>
      <c r="O114" s="27">
        <f t="shared" si="27"/>
        <v>155.34928534702226</v>
      </c>
      <c r="P114" s="27">
        <f t="shared" si="28"/>
        <v>6.2139714138808904</v>
      </c>
      <c r="Q114" s="28">
        <f t="shared" si="29"/>
        <v>161.56325676090316</v>
      </c>
      <c r="R114" s="31">
        <v>1973.54</v>
      </c>
      <c r="S114" s="27">
        <f t="shared" si="30"/>
        <v>8.1864698339482941E-2</v>
      </c>
      <c r="T114" s="27">
        <f t="shared" si="18"/>
        <v>8.2000000000000003E-2</v>
      </c>
      <c r="U114" s="27">
        <f t="shared" si="19"/>
        <v>9.9220000000000003E-2</v>
      </c>
    </row>
    <row r="115" spans="1:21">
      <c r="A115" s="65">
        <v>107</v>
      </c>
      <c r="B115" s="26" t="s">
        <v>174</v>
      </c>
      <c r="C115" s="78">
        <v>5.64</v>
      </c>
      <c r="D115" s="27">
        <f t="shared" si="32"/>
        <v>7.5199999999999996E-4</v>
      </c>
      <c r="E115" s="28">
        <v>231.1</v>
      </c>
      <c r="F115" s="27">
        <f t="shared" si="31"/>
        <v>0.12838888888888889</v>
      </c>
      <c r="G115" s="27">
        <f t="shared" si="20"/>
        <v>0.12914088888888889</v>
      </c>
      <c r="H115" s="27">
        <f t="shared" si="17"/>
        <v>108.47834666666667</v>
      </c>
      <c r="I115" s="27">
        <f t="shared" si="21"/>
        <v>10.847834666666667</v>
      </c>
      <c r="J115" s="27">
        <f t="shared" si="22"/>
        <v>10.847834666666667</v>
      </c>
      <c r="K115" s="27">
        <f t="shared" si="23"/>
        <v>130.17401599999999</v>
      </c>
      <c r="L115" s="27">
        <f t="shared" si="24"/>
        <v>2.3952018944</v>
      </c>
      <c r="M115" s="27">
        <f t="shared" si="25"/>
        <v>0.93239721777777773</v>
      </c>
      <c r="N115" s="27">
        <f t="shared" si="26"/>
        <v>21.044799253333334</v>
      </c>
      <c r="O115" s="27">
        <f t="shared" si="27"/>
        <v>154.54641436551111</v>
      </c>
      <c r="P115" s="27">
        <f t="shared" si="28"/>
        <v>6.1818565746204444</v>
      </c>
      <c r="Q115" s="28">
        <f t="shared" si="29"/>
        <v>160.72827094013155</v>
      </c>
      <c r="R115" s="31">
        <v>1974.06</v>
      </c>
      <c r="S115" s="27">
        <f t="shared" si="30"/>
        <v>8.1420154878844395E-2</v>
      </c>
      <c r="T115" s="27">
        <f t="shared" si="18"/>
        <v>8.1000000000000003E-2</v>
      </c>
      <c r="U115" s="27">
        <f>T115*1.21</f>
        <v>9.801E-2</v>
      </c>
    </row>
    <row r="116" spans="1:21">
      <c r="A116" s="65">
        <v>108</v>
      </c>
      <c r="B116" s="26" t="s">
        <v>210</v>
      </c>
      <c r="C116">
        <v>0.48659924239650088</v>
      </c>
      <c r="D116">
        <v>408.74336361306075</v>
      </c>
      <c r="E116">
        <v>40.874336361306078</v>
      </c>
      <c r="F116">
        <v>40.874336361306078</v>
      </c>
      <c r="G116">
        <v>490.49203633567288</v>
      </c>
      <c r="H116">
        <v>9.025053468576381</v>
      </c>
      <c r="I116"/>
      <c r="J116">
        <v>3.513246530102736</v>
      </c>
      <c r="K116">
        <v>79.296212540933794</v>
      </c>
      <c r="L116">
        <v>582.32654887528577</v>
      </c>
      <c r="M116">
        <v>23.293061955011432</v>
      </c>
      <c r="N116">
        <v>605.61961083029723</v>
      </c>
      <c r="O116">
        <v>3644.49</v>
      </c>
      <c r="P116">
        <v>0.16617403555238106</v>
      </c>
      <c r="Q116">
        <v>0.16600000000000001</v>
      </c>
      <c r="R116" s="31"/>
      <c r="S116" s="27"/>
      <c r="T116" s="27">
        <v>0.16600000000000001</v>
      </c>
      <c r="U116" s="27">
        <f t="shared" ref="U116:U117" si="33">T116*1.21</f>
        <v>0.20086000000000001</v>
      </c>
    </row>
    <row r="117" spans="1:21">
      <c r="A117" s="65">
        <v>109</v>
      </c>
      <c r="B117" s="26" t="s">
        <v>211</v>
      </c>
      <c r="C117">
        <v>0.27670364035452155</v>
      </c>
      <c r="D117">
        <v>232.4310578977981</v>
      </c>
      <c r="E117">
        <v>23.243105789779811</v>
      </c>
      <c r="F117">
        <v>23.243105789779811</v>
      </c>
      <c r="G117">
        <v>278.91726947735771</v>
      </c>
      <c r="H117">
        <v>5.1320777583833816</v>
      </c>
      <c r="I117"/>
      <c r="J117">
        <v>1.9978002833596455</v>
      </c>
      <c r="K117">
        <v>45.091625232172831</v>
      </c>
      <c r="L117">
        <v>331.13877275127356</v>
      </c>
      <c r="M117">
        <v>13.245550910050943</v>
      </c>
      <c r="N117">
        <v>344.38432366132452</v>
      </c>
      <c r="O117">
        <v>2129.48</v>
      </c>
      <c r="P117">
        <v>0.16172226255298219</v>
      </c>
      <c r="Q117">
        <v>0.16200000000000001</v>
      </c>
      <c r="R117" s="31"/>
      <c r="S117" s="27"/>
      <c r="T117" s="27">
        <v>0.16200000000000001</v>
      </c>
      <c r="U117" s="27">
        <f t="shared" si="33"/>
        <v>0.19602</v>
      </c>
    </row>
    <row r="118" spans="1:21">
      <c r="A118" s="65">
        <v>110</v>
      </c>
      <c r="B118" s="26" t="s">
        <v>175</v>
      </c>
      <c r="C118" s="78">
        <v>2.95</v>
      </c>
      <c r="D118" s="27">
        <f t="shared" si="32"/>
        <v>3.9333333333333337E-4</v>
      </c>
      <c r="E118" s="28">
        <v>122.33</v>
      </c>
      <c r="F118" s="27">
        <f t="shared" si="31"/>
        <v>6.7961111111111111E-2</v>
      </c>
      <c r="G118" s="27">
        <f t="shared" si="20"/>
        <v>6.835444444444444E-2</v>
      </c>
      <c r="H118" s="27">
        <f t="shared" si="17"/>
        <v>57.417733333333331</v>
      </c>
      <c r="I118" s="27">
        <f t="shared" si="21"/>
        <v>5.7417733333333336</v>
      </c>
      <c r="J118" s="27">
        <f t="shared" si="22"/>
        <v>5.7417733333333336</v>
      </c>
      <c r="K118" s="27">
        <f t="shared" si="23"/>
        <v>68.90128</v>
      </c>
      <c r="L118" s="27">
        <f t="shared" si="24"/>
        <v>1.267783552</v>
      </c>
      <c r="M118" s="27">
        <f t="shared" si="25"/>
        <v>0.49351908888888885</v>
      </c>
      <c r="N118" s="27">
        <f t="shared" si="26"/>
        <v>11.139040266666667</v>
      </c>
      <c r="O118" s="27">
        <f t="shared" si="27"/>
        <v>81.801622907555554</v>
      </c>
      <c r="P118" s="27">
        <f t="shared" si="28"/>
        <v>3.2720649163022224</v>
      </c>
      <c r="Q118" s="28">
        <f t="shared" si="29"/>
        <v>85.073687823857782</v>
      </c>
      <c r="R118" s="31">
        <v>986</v>
      </c>
      <c r="S118" s="27">
        <f t="shared" si="30"/>
        <v>8.6281630652999777E-2</v>
      </c>
      <c r="T118" s="27">
        <f t="shared" si="18"/>
        <v>8.5999999999999993E-2</v>
      </c>
      <c r="U118" s="27">
        <f t="shared" si="19"/>
        <v>0.10405999999999999</v>
      </c>
    </row>
    <row r="119" spans="1:21">
      <c r="A119" s="65">
        <v>111</v>
      </c>
      <c r="B119" s="26" t="s">
        <v>176</v>
      </c>
      <c r="C119" s="78">
        <v>9.52</v>
      </c>
      <c r="D119" s="27">
        <f t="shared" si="32"/>
        <v>1.2693333333333333E-3</v>
      </c>
      <c r="E119" s="28">
        <v>243.92</v>
      </c>
      <c r="F119" s="27">
        <f t="shared" si="31"/>
        <v>0.13551111111111111</v>
      </c>
      <c r="G119" s="27">
        <f t="shared" si="20"/>
        <v>0.13678044444444445</v>
      </c>
      <c r="H119" s="27">
        <f t="shared" si="17"/>
        <v>114.89557333333335</v>
      </c>
      <c r="I119" s="27">
        <f t="shared" si="21"/>
        <v>11.489557333333336</v>
      </c>
      <c r="J119" s="27">
        <f t="shared" si="22"/>
        <v>11.489557333333336</v>
      </c>
      <c r="K119" s="27">
        <f t="shared" si="23"/>
        <v>137.87468800000002</v>
      </c>
      <c r="L119" s="27">
        <f t="shared" si="24"/>
        <v>2.5368942592000003</v>
      </c>
      <c r="M119" s="27">
        <f t="shared" si="25"/>
        <v>0.98755480888888891</v>
      </c>
      <c r="N119" s="27">
        <f t="shared" si="26"/>
        <v>22.289741226666671</v>
      </c>
      <c r="O119" s="27">
        <f t="shared" si="27"/>
        <v>163.6888782947556</v>
      </c>
      <c r="P119" s="27">
        <f t="shared" si="28"/>
        <v>6.5475551317902241</v>
      </c>
      <c r="Q119" s="28">
        <f t="shared" si="29"/>
        <v>170.23643342654583</v>
      </c>
      <c r="R119" s="30">
        <v>1956.3</v>
      </c>
      <c r="S119" s="27">
        <f t="shared" si="30"/>
        <v>8.7019594860985455E-2</v>
      </c>
      <c r="T119" s="27">
        <f t="shared" si="18"/>
        <v>8.6999999999999994E-2</v>
      </c>
      <c r="U119" s="27">
        <f t="shared" si="19"/>
        <v>0.10526999999999999</v>
      </c>
    </row>
    <row r="120" spans="1:21">
      <c r="A120" s="65">
        <v>112</v>
      </c>
      <c r="B120" s="26" t="s">
        <v>177</v>
      </c>
      <c r="C120" s="78">
        <v>8.9700000000000006</v>
      </c>
      <c r="D120" s="27">
        <f t="shared" si="32"/>
        <v>1.196E-3</v>
      </c>
      <c r="E120" s="28">
        <v>244.16</v>
      </c>
      <c r="F120" s="27">
        <f t="shared" si="31"/>
        <v>0.13564444444444446</v>
      </c>
      <c r="G120" s="27">
        <f t="shared" si="20"/>
        <v>0.13684044444444446</v>
      </c>
      <c r="H120" s="27">
        <f t="shared" si="17"/>
        <v>114.94597333333334</v>
      </c>
      <c r="I120" s="27">
        <f t="shared" si="21"/>
        <v>11.494597333333335</v>
      </c>
      <c r="J120" s="27">
        <f t="shared" si="22"/>
        <v>11.494597333333335</v>
      </c>
      <c r="K120" s="27">
        <f t="shared" si="23"/>
        <v>137.935168</v>
      </c>
      <c r="L120" s="27">
        <f t="shared" si="24"/>
        <v>2.5380070911999999</v>
      </c>
      <c r="M120" s="27">
        <f t="shared" si="25"/>
        <v>0.98798800888888894</v>
      </c>
      <c r="N120" s="27">
        <f t="shared" si="26"/>
        <v>22.29951882666667</v>
      </c>
      <c r="O120" s="27">
        <f t="shared" si="27"/>
        <v>163.76068192675558</v>
      </c>
      <c r="P120" s="27">
        <f t="shared" si="28"/>
        <v>6.5504272770702237</v>
      </c>
      <c r="Q120" s="28">
        <f t="shared" si="29"/>
        <v>170.31110920382579</v>
      </c>
      <c r="R120" s="30">
        <v>1956.44</v>
      </c>
      <c r="S120" s="27">
        <f t="shared" si="30"/>
        <v>8.7051537079504498E-2</v>
      </c>
      <c r="T120" s="27">
        <f t="shared" si="18"/>
        <v>8.6999999999999994E-2</v>
      </c>
      <c r="U120" s="27">
        <f t="shared" si="19"/>
        <v>0.10526999999999999</v>
      </c>
    </row>
    <row r="121" spans="1:21">
      <c r="A121" s="65">
        <v>113</v>
      </c>
      <c r="B121" s="26" t="s">
        <v>178</v>
      </c>
      <c r="C121" s="78">
        <v>3.65</v>
      </c>
      <c r="D121" s="27">
        <f t="shared" si="32"/>
        <v>4.8666666666666666E-4</v>
      </c>
      <c r="E121" s="28">
        <v>222.71</v>
      </c>
      <c r="F121" s="27">
        <f t="shared" si="31"/>
        <v>0.12372777777777778</v>
      </c>
      <c r="G121" s="27">
        <f t="shared" si="20"/>
        <v>0.12421444444444445</v>
      </c>
      <c r="H121" s="27">
        <f t="shared" si="17"/>
        <v>104.34013333333334</v>
      </c>
      <c r="I121" s="27">
        <f t="shared" si="21"/>
        <v>10.434013333333334</v>
      </c>
      <c r="J121" s="27">
        <f t="shared" si="22"/>
        <v>10.434013333333334</v>
      </c>
      <c r="K121" s="27">
        <f t="shared" si="23"/>
        <v>125.20816000000002</v>
      </c>
      <c r="L121" s="27">
        <f t="shared" si="24"/>
        <v>2.3038301440000004</v>
      </c>
      <c r="M121" s="27">
        <f t="shared" si="25"/>
        <v>0.89682828888888888</v>
      </c>
      <c r="N121" s="27">
        <f t="shared" si="26"/>
        <v>20.241985866666671</v>
      </c>
      <c r="O121" s="27">
        <f t="shared" si="27"/>
        <v>148.6508042995556</v>
      </c>
      <c r="P121" s="27">
        <f t="shared" si="28"/>
        <v>5.9460321719822238</v>
      </c>
      <c r="Q121" s="28">
        <f t="shared" si="29"/>
        <v>154.59683647153781</v>
      </c>
      <c r="R121" s="30">
        <v>2198</v>
      </c>
      <c r="S121" s="27">
        <f t="shared" si="30"/>
        <v>7.0335230423811568E-2</v>
      </c>
      <c r="T121" s="27">
        <f t="shared" si="18"/>
        <v>7.0000000000000007E-2</v>
      </c>
      <c r="U121" s="27">
        <f t="shared" si="19"/>
        <v>8.4700000000000011E-2</v>
      </c>
    </row>
    <row r="122" spans="1:21">
      <c r="A122" s="65">
        <v>114</v>
      </c>
      <c r="B122" s="26" t="s">
        <v>179</v>
      </c>
      <c r="C122" s="78">
        <f>3.13+3.13</f>
        <v>6.26</v>
      </c>
      <c r="D122" s="27">
        <f t="shared" si="32"/>
        <v>8.3466666666666661E-4</v>
      </c>
      <c r="E122" s="28">
        <f>122.91+122.92</f>
        <v>245.82999999999998</v>
      </c>
      <c r="F122" s="27">
        <f t="shared" si="31"/>
        <v>0.13657222222222221</v>
      </c>
      <c r="G122" s="27">
        <f t="shared" si="20"/>
        <v>0.13740688888888888</v>
      </c>
      <c r="H122" s="27">
        <f t="shared" si="17"/>
        <v>115.42178666666666</v>
      </c>
      <c r="I122" s="27">
        <f t="shared" si="21"/>
        <v>11.542178666666667</v>
      </c>
      <c r="J122" s="27">
        <f t="shared" si="22"/>
        <v>11.542178666666667</v>
      </c>
      <c r="K122" s="27">
        <f t="shared" si="23"/>
        <v>138.50614400000001</v>
      </c>
      <c r="L122" s="27">
        <f t="shared" si="24"/>
        <v>2.5485130495999999</v>
      </c>
      <c r="M122" s="27">
        <f t="shared" si="25"/>
        <v>0.99207773777777775</v>
      </c>
      <c r="N122" s="27">
        <f t="shared" si="26"/>
        <v>22.391826613333333</v>
      </c>
      <c r="O122" s="27">
        <f t="shared" si="27"/>
        <v>164.43856140071111</v>
      </c>
      <c r="P122" s="27">
        <f t="shared" si="28"/>
        <v>6.5775424560284446</v>
      </c>
      <c r="Q122" s="28">
        <f t="shared" si="29"/>
        <v>171.01610385673956</v>
      </c>
      <c r="R122" s="30">
        <f>970.25+989.41</f>
        <v>1959.6599999999999</v>
      </c>
      <c r="S122" s="27">
        <f t="shared" si="30"/>
        <v>8.7268252582968261E-2</v>
      </c>
      <c r="T122" s="27">
        <f t="shared" si="18"/>
        <v>8.6999999999999994E-2</v>
      </c>
      <c r="U122" s="27">
        <f t="shared" si="19"/>
        <v>0.10526999999999999</v>
      </c>
    </row>
    <row r="123" spans="1:21">
      <c r="A123" s="65">
        <v>115</v>
      </c>
      <c r="B123" s="26" t="s">
        <v>180</v>
      </c>
      <c r="C123" s="78">
        <v>1.46</v>
      </c>
      <c r="D123" s="27">
        <f t="shared" si="32"/>
        <v>1.9466666666666666E-4</v>
      </c>
      <c r="E123" s="28">
        <v>114.63</v>
      </c>
      <c r="F123" s="27">
        <f t="shared" si="31"/>
        <v>6.3683333333333328E-2</v>
      </c>
      <c r="G123" s="27">
        <f t="shared" si="20"/>
        <v>6.387799999999999E-2</v>
      </c>
      <c r="H123" s="27">
        <f t="shared" si="17"/>
        <v>53.657519999999991</v>
      </c>
      <c r="I123" s="27">
        <f t="shared" si="21"/>
        <v>5.3657519999999996</v>
      </c>
      <c r="J123" s="27">
        <f t="shared" si="22"/>
        <v>5.3657519999999996</v>
      </c>
      <c r="K123" s="27">
        <f t="shared" si="23"/>
        <v>64.389023999999992</v>
      </c>
      <c r="L123" s="27">
        <f t="shared" si="24"/>
        <v>1.1847580415999999</v>
      </c>
      <c r="M123" s="27">
        <f t="shared" si="25"/>
        <v>0.46119915999999994</v>
      </c>
      <c r="N123" s="27">
        <f t="shared" si="26"/>
        <v>10.409558879999999</v>
      </c>
      <c r="O123" s="27">
        <f t="shared" si="27"/>
        <v>76.444540081599996</v>
      </c>
      <c r="P123" s="27">
        <f t="shared" si="28"/>
        <v>3.0577816032639999</v>
      </c>
      <c r="Q123" s="28">
        <f t="shared" si="29"/>
        <v>79.502321684864</v>
      </c>
      <c r="R123" s="31">
        <v>1070.45</v>
      </c>
      <c r="S123" s="27">
        <f t="shared" si="30"/>
        <v>7.4270000172697456E-2</v>
      </c>
      <c r="T123" s="27">
        <f t="shared" si="18"/>
        <v>7.3999999999999996E-2</v>
      </c>
      <c r="U123" s="27">
        <f t="shared" si="19"/>
        <v>8.9539999999999995E-2</v>
      </c>
    </row>
    <row r="124" spans="1:21">
      <c r="A124" s="65">
        <v>116</v>
      </c>
      <c r="B124" s="26" t="s">
        <v>181</v>
      </c>
      <c r="C124" s="78">
        <v>1.45</v>
      </c>
      <c r="D124" s="27">
        <f t="shared" si="32"/>
        <v>1.9333333333333333E-4</v>
      </c>
      <c r="E124" s="28">
        <v>114.67</v>
      </c>
      <c r="F124" s="27">
        <f t="shared" si="31"/>
        <v>6.3705555555555557E-2</v>
      </c>
      <c r="G124" s="27">
        <f t="shared" si="20"/>
        <v>6.3898888888888894E-2</v>
      </c>
      <c r="H124" s="27">
        <f t="shared" si="17"/>
        <v>53.675066666666673</v>
      </c>
      <c r="I124" s="27">
        <f t="shared" si="21"/>
        <v>5.3675066666666673</v>
      </c>
      <c r="J124" s="27">
        <f t="shared" si="22"/>
        <v>5.3675066666666673</v>
      </c>
      <c r="K124" s="27">
        <f t="shared" si="23"/>
        <v>64.410080000000008</v>
      </c>
      <c r="L124" s="27">
        <f t="shared" si="24"/>
        <v>1.1851454720000001</v>
      </c>
      <c r="M124" s="27">
        <f t="shared" si="25"/>
        <v>0.46134997777777781</v>
      </c>
      <c r="N124" s="27">
        <f t="shared" si="26"/>
        <v>10.412962933333334</v>
      </c>
      <c r="O124" s="27">
        <f t="shared" si="27"/>
        <v>76.469538383111114</v>
      </c>
      <c r="P124" s="27">
        <f t="shared" si="28"/>
        <v>3.0587815353244445</v>
      </c>
      <c r="Q124" s="28">
        <f t="shared" si="29"/>
        <v>79.528319918435557</v>
      </c>
      <c r="R124" s="30">
        <v>1070.45</v>
      </c>
      <c r="S124" s="27">
        <f t="shared" si="30"/>
        <v>7.4294287373007195E-2</v>
      </c>
      <c r="T124" s="27">
        <f t="shared" si="18"/>
        <v>7.3999999999999996E-2</v>
      </c>
      <c r="U124" s="27">
        <f t="shared" si="19"/>
        <v>8.9539999999999995E-2</v>
      </c>
    </row>
    <row r="125" spans="1:21">
      <c r="A125" s="65">
        <v>117</v>
      </c>
      <c r="B125" s="26" t="s">
        <v>182</v>
      </c>
      <c r="C125" s="78">
        <v>6.97</v>
      </c>
      <c r="D125" s="27">
        <f t="shared" si="32"/>
        <v>9.2933333333333334E-4</v>
      </c>
      <c r="E125" s="28">
        <v>244.73</v>
      </c>
      <c r="F125" s="27">
        <f t="shared" si="31"/>
        <v>0.13596111111111112</v>
      </c>
      <c r="G125" s="27">
        <f t="shared" si="20"/>
        <v>0.13689044444444445</v>
      </c>
      <c r="H125" s="27">
        <f t="shared" si="17"/>
        <v>114.98797333333334</v>
      </c>
      <c r="I125" s="27">
        <f t="shared" si="21"/>
        <v>11.498797333333336</v>
      </c>
      <c r="J125" s="27">
        <f t="shared" si="22"/>
        <v>11.498797333333336</v>
      </c>
      <c r="K125" s="27">
        <f t="shared" si="23"/>
        <v>137.985568</v>
      </c>
      <c r="L125" s="27">
        <f t="shared" si="24"/>
        <v>2.5389344511999998</v>
      </c>
      <c r="M125" s="27">
        <f t="shared" si="25"/>
        <v>0.98834900888888888</v>
      </c>
      <c r="N125" s="27">
        <f t="shared" si="26"/>
        <v>22.307666826666669</v>
      </c>
      <c r="O125" s="27">
        <f t="shared" si="27"/>
        <v>163.82051828675554</v>
      </c>
      <c r="P125" s="27">
        <f t="shared" si="28"/>
        <v>6.5528207314702218</v>
      </c>
      <c r="Q125" s="28">
        <f t="shared" si="29"/>
        <v>170.37333901822578</v>
      </c>
      <c r="R125" s="30">
        <v>1956.3</v>
      </c>
      <c r="S125" s="27">
        <f t="shared" si="30"/>
        <v>8.7089576761348347E-2</v>
      </c>
      <c r="T125" s="27">
        <f t="shared" si="18"/>
        <v>8.6999999999999994E-2</v>
      </c>
      <c r="U125" s="27">
        <f t="shared" si="19"/>
        <v>0.10526999999999999</v>
      </c>
    </row>
    <row r="126" spans="1:21">
      <c r="A126" s="65">
        <v>118</v>
      </c>
      <c r="B126" s="26" t="s">
        <v>183</v>
      </c>
      <c r="C126" s="78">
        <v>3</v>
      </c>
      <c r="D126" s="27">
        <f t="shared" si="32"/>
        <v>4.0000000000000002E-4</v>
      </c>
      <c r="E126" s="28">
        <v>226.36</v>
      </c>
      <c r="F126" s="27">
        <f t="shared" si="31"/>
        <v>0.12575555555555556</v>
      </c>
      <c r="G126" s="27">
        <f t="shared" si="20"/>
        <v>0.12615555555555558</v>
      </c>
      <c r="H126" s="27">
        <f t="shared" si="17"/>
        <v>105.97066666666669</v>
      </c>
      <c r="I126" s="27">
        <f t="shared" si="21"/>
        <v>10.59706666666667</v>
      </c>
      <c r="J126" s="27">
        <f t="shared" si="22"/>
        <v>10.59706666666667</v>
      </c>
      <c r="K126" s="27">
        <f t="shared" si="23"/>
        <v>127.16480000000004</v>
      </c>
      <c r="L126" s="27">
        <f t="shared" si="24"/>
        <v>2.3398323200000006</v>
      </c>
      <c r="M126" s="27">
        <f t="shared" si="25"/>
        <v>0.91084311111111127</v>
      </c>
      <c r="N126" s="27">
        <f t="shared" si="26"/>
        <v>20.558309333333337</v>
      </c>
      <c r="O126" s="27">
        <f t="shared" si="27"/>
        <v>150.9737847644445</v>
      </c>
      <c r="P126" s="27">
        <f t="shared" si="28"/>
        <v>6.0389513905777799</v>
      </c>
      <c r="Q126" s="28">
        <f t="shared" si="29"/>
        <v>157.01273615502228</v>
      </c>
      <c r="R126" s="30">
        <v>2169.35</v>
      </c>
      <c r="S126" s="27">
        <f t="shared" si="30"/>
        <v>7.2377779590671071E-2</v>
      </c>
      <c r="T126" s="27">
        <f t="shared" si="18"/>
        <v>7.1999999999999995E-2</v>
      </c>
      <c r="U126" s="27">
        <f t="shared" si="19"/>
        <v>8.7119999999999989E-2</v>
      </c>
    </row>
    <row r="127" spans="1:21">
      <c r="A127" s="65">
        <v>119</v>
      </c>
      <c r="B127" s="26" t="s">
        <v>184</v>
      </c>
      <c r="C127" s="78">
        <v>2.25</v>
      </c>
      <c r="D127" s="27">
        <f t="shared" si="32"/>
        <v>2.9999999999999997E-4</v>
      </c>
      <c r="E127" s="28">
        <v>111.88</v>
      </c>
      <c r="F127" s="27">
        <f t="shared" si="31"/>
        <v>6.2155555555555554E-2</v>
      </c>
      <c r="G127" s="27">
        <f t="shared" si="20"/>
        <v>6.2455555555555556E-2</v>
      </c>
      <c r="H127" s="27">
        <f t="shared" si="17"/>
        <v>52.462666666666664</v>
      </c>
      <c r="I127" s="27">
        <f t="shared" si="21"/>
        <v>5.2462666666666671</v>
      </c>
      <c r="J127" s="27">
        <f t="shared" si="22"/>
        <v>5.2462666666666671</v>
      </c>
      <c r="K127" s="27">
        <f t="shared" si="23"/>
        <v>62.955200000000005</v>
      </c>
      <c r="L127" s="27">
        <f t="shared" si="24"/>
        <v>1.15837568</v>
      </c>
      <c r="M127" s="27">
        <f t="shared" si="25"/>
        <v>0.45092911111111111</v>
      </c>
      <c r="N127" s="27">
        <f t="shared" si="26"/>
        <v>10.177757333333332</v>
      </c>
      <c r="O127" s="27">
        <f t="shared" si="27"/>
        <v>74.742262124444451</v>
      </c>
      <c r="P127" s="27">
        <f t="shared" si="28"/>
        <v>2.9896904849777783</v>
      </c>
      <c r="Q127" s="28">
        <f t="shared" si="29"/>
        <v>77.731952609422223</v>
      </c>
      <c r="R127" s="30">
        <v>1104.6400000000001</v>
      </c>
      <c r="S127" s="27">
        <f t="shared" si="30"/>
        <v>7.0368583981588767E-2</v>
      </c>
      <c r="T127" s="27">
        <f t="shared" si="18"/>
        <v>7.0000000000000007E-2</v>
      </c>
      <c r="U127" s="27">
        <f t="shared" si="19"/>
        <v>8.4700000000000011E-2</v>
      </c>
    </row>
    <row r="128" spans="1:21">
      <c r="A128" s="65">
        <v>120</v>
      </c>
      <c r="B128" s="26" t="s">
        <v>185</v>
      </c>
      <c r="C128" s="78">
        <v>5.03</v>
      </c>
      <c r="D128" s="27">
        <f t="shared" si="32"/>
        <v>6.7066666666666674E-4</v>
      </c>
      <c r="E128" s="28">
        <v>243.64</v>
      </c>
      <c r="F128" s="27">
        <f t="shared" si="31"/>
        <v>0.13535555555555553</v>
      </c>
      <c r="G128" s="27">
        <f t="shared" si="20"/>
        <v>0.13602622222222222</v>
      </c>
      <c r="H128" s="27">
        <f t="shared" si="17"/>
        <v>114.26202666666666</v>
      </c>
      <c r="I128" s="27">
        <f t="shared" si="21"/>
        <v>11.426202666666667</v>
      </c>
      <c r="J128" s="27">
        <f t="shared" si="22"/>
        <v>11.426202666666667</v>
      </c>
      <c r="K128" s="27">
        <f t="shared" si="23"/>
        <v>137.11443199999999</v>
      </c>
      <c r="L128" s="27">
        <f t="shared" si="24"/>
        <v>2.5229055487999998</v>
      </c>
      <c r="M128" s="27">
        <f t="shared" si="25"/>
        <v>0.98210932444444432</v>
      </c>
      <c r="N128" s="27">
        <f t="shared" si="26"/>
        <v>22.16683317333333</v>
      </c>
      <c r="O128" s="27">
        <f t="shared" si="27"/>
        <v>162.78628004657776</v>
      </c>
      <c r="P128" s="27">
        <f t="shared" si="28"/>
        <v>6.5114512018631103</v>
      </c>
      <c r="Q128" s="28">
        <f t="shared" si="29"/>
        <v>169.29773124844087</v>
      </c>
      <c r="R128" s="30">
        <v>1954.74</v>
      </c>
      <c r="S128" s="27">
        <f t="shared" si="30"/>
        <v>8.6608823295395224E-2</v>
      </c>
      <c r="T128" s="27">
        <f t="shared" si="18"/>
        <v>8.6999999999999994E-2</v>
      </c>
      <c r="U128" s="27">
        <f t="shared" si="19"/>
        <v>0.10526999999999999</v>
      </c>
    </row>
    <row r="129" spans="1:21">
      <c r="A129" s="65">
        <v>121</v>
      </c>
      <c r="B129" s="26" t="s">
        <v>186</v>
      </c>
      <c r="C129" s="78">
        <v>6.73</v>
      </c>
      <c r="D129" s="27">
        <f t="shared" si="32"/>
        <v>8.9733333333333342E-4</v>
      </c>
      <c r="E129" s="28">
        <v>243.79</v>
      </c>
      <c r="F129" s="27">
        <f t="shared" si="31"/>
        <v>0.13543888888888889</v>
      </c>
      <c r="G129" s="27">
        <f t="shared" si="20"/>
        <v>0.13633622222222222</v>
      </c>
      <c r="H129" s="27">
        <f t="shared" si="17"/>
        <v>114.52242666666666</v>
      </c>
      <c r="I129" s="27">
        <f t="shared" si="21"/>
        <v>11.452242666666667</v>
      </c>
      <c r="J129" s="27">
        <f t="shared" si="22"/>
        <v>11.452242666666667</v>
      </c>
      <c r="K129" s="27">
        <f t="shared" si="23"/>
        <v>137.42691199999999</v>
      </c>
      <c r="L129" s="27">
        <f t="shared" si="24"/>
        <v>2.5286551807999995</v>
      </c>
      <c r="M129" s="27">
        <f t="shared" si="25"/>
        <v>0.9843475244444444</v>
      </c>
      <c r="N129" s="27">
        <f t="shared" si="26"/>
        <v>22.217350773333333</v>
      </c>
      <c r="O129" s="27">
        <f t="shared" si="27"/>
        <v>163.15726547857776</v>
      </c>
      <c r="P129" s="27">
        <f t="shared" si="28"/>
        <v>6.5262906191431105</v>
      </c>
      <c r="Q129" s="28">
        <f t="shared" si="29"/>
        <v>169.68355609772087</v>
      </c>
      <c r="R129" s="30">
        <v>1958.99</v>
      </c>
      <c r="S129" s="27">
        <f t="shared" si="30"/>
        <v>8.6617877629656545E-2</v>
      </c>
      <c r="T129" s="27">
        <f t="shared" si="18"/>
        <v>8.6999999999999994E-2</v>
      </c>
      <c r="U129" s="27">
        <f t="shared" si="19"/>
        <v>0.10526999999999999</v>
      </c>
    </row>
    <row r="130" spans="1:21">
      <c r="A130" s="65">
        <v>122</v>
      </c>
      <c r="B130" s="26" t="s">
        <v>187</v>
      </c>
      <c r="C130" s="78">
        <f>1.98+1.98</f>
        <v>3.96</v>
      </c>
      <c r="D130" s="27">
        <f t="shared" si="32"/>
        <v>5.2800000000000004E-4</v>
      </c>
      <c r="E130" s="28">
        <f>111.92+111.92</f>
        <v>223.84</v>
      </c>
      <c r="F130" s="27">
        <f t="shared" si="31"/>
        <v>0.12435555555555555</v>
      </c>
      <c r="G130" s="27">
        <f t="shared" si="20"/>
        <v>0.12488355555555555</v>
      </c>
      <c r="H130" s="27">
        <f t="shared" si="17"/>
        <v>104.90218666666667</v>
      </c>
      <c r="I130" s="27">
        <f t="shared" si="21"/>
        <v>10.490218666666667</v>
      </c>
      <c r="J130" s="27">
        <f t="shared" si="22"/>
        <v>10.490218666666667</v>
      </c>
      <c r="K130" s="27">
        <f t="shared" si="23"/>
        <v>125.88262399999999</v>
      </c>
      <c r="L130" s="27">
        <f t="shared" si="24"/>
        <v>2.3162402815999998</v>
      </c>
      <c r="M130" s="27">
        <f t="shared" si="25"/>
        <v>0.9016592711111111</v>
      </c>
      <c r="N130" s="27">
        <f t="shared" si="26"/>
        <v>20.351024213333332</v>
      </c>
      <c r="O130" s="27">
        <f t="shared" si="27"/>
        <v>149.45154776604443</v>
      </c>
      <c r="P130" s="27">
        <f t="shared" si="28"/>
        <v>5.9780619106417774</v>
      </c>
      <c r="Q130" s="28">
        <f t="shared" si="29"/>
        <v>155.4296096766862</v>
      </c>
      <c r="R130" s="31">
        <v>2198.0300000000002</v>
      </c>
      <c r="S130" s="27">
        <f t="shared" si="30"/>
        <v>7.0713142985621757E-2</v>
      </c>
      <c r="T130" s="27">
        <f t="shared" si="18"/>
        <v>7.0999999999999994E-2</v>
      </c>
      <c r="U130" s="27">
        <f t="shared" si="19"/>
        <v>8.5909999999999986E-2</v>
      </c>
    </row>
    <row r="131" spans="1:21">
      <c r="A131" s="65">
        <v>123</v>
      </c>
      <c r="B131" s="26" t="s">
        <v>215</v>
      </c>
      <c r="C131">
        <v>0.44810824239650093</v>
      </c>
      <c r="D131">
        <v>376.41092361306079</v>
      </c>
      <c r="E131">
        <v>37.641092361306079</v>
      </c>
      <c r="F131">
        <v>37.641092361306079</v>
      </c>
      <c r="G131">
        <v>451.69310833567295</v>
      </c>
      <c r="H131">
        <v>8.3111531933763825</v>
      </c>
      <c r="I131"/>
      <c r="J131">
        <v>3.2353415101027365</v>
      </c>
      <c r="K131">
        <v>73.023719180933796</v>
      </c>
      <c r="L131">
        <v>536.2633222200858</v>
      </c>
      <c r="M131">
        <v>21.450532888803433</v>
      </c>
      <c r="N131">
        <v>557.71385510888922</v>
      </c>
      <c r="O131">
        <v>3092.7599999999998</v>
      </c>
      <c r="P131">
        <v>0.18032885031780327</v>
      </c>
      <c r="Q131">
        <v>0.18</v>
      </c>
      <c r="R131" s="31"/>
      <c r="S131" s="27"/>
      <c r="T131" s="27">
        <v>0.18</v>
      </c>
      <c r="U131" s="27">
        <f t="shared" si="19"/>
        <v>0.21779999999999999</v>
      </c>
    </row>
    <row r="132" spans="1:21">
      <c r="A132" s="65">
        <v>124</v>
      </c>
      <c r="B132" s="26" t="s">
        <v>188</v>
      </c>
      <c r="C132" s="78">
        <v>7.62</v>
      </c>
      <c r="D132" s="27">
        <f t="shared" si="32"/>
        <v>1.016E-3</v>
      </c>
      <c r="E132" s="28">
        <v>130.36000000000001</v>
      </c>
      <c r="F132" s="27">
        <f t="shared" si="31"/>
        <v>7.2422222222222235E-2</v>
      </c>
      <c r="G132" s="27">
        <f t="shared" si="20"/>
        <v>7.3438222222222238E-2</v>
      </c>
      <c r="H132" s="27">
        <f t="shared" si="17"/>
        <v>61.688106666666677</v>
      </c>
      <c r="I132" s="27">
        <f t="shared" si="21"/>
        <v>6.1688106666666682</v>
      </c>
      <c r="J132" s="27">
        <f t="shared" si="22"/>
        <v>6.1688106666666682</v>
      </c>
      <c r="K132" s="27">
        <f t="shared" si="23"/>
        <v>74.025728000000015</v>
      </c>
      <c r="L132" s="27">
        <f t="shared" si="24"/>
        <v>1.3620733952000001</v>
      </c>
      <c r="M132" s="27">
        <f t="shared" si="25"/>
        <v>0.53022396444444453</v>
      </c>
      <c r="N132" s="27">
        <f t="shared" si="26"/>
        <v>11.967492693333336</v>
      </c>
      <c r="O132" s="27">
        <f t="shared" si="27"/>
        <v>87.885518052977801</v>
      </c>
      <c r="P132" s="27">
        <f t="shared" si="28"/>
        <v>3.5154207221191123</v>
      </c>
      <c r="Q132" s="28">
        <f t="shared" si="29"/>
        <v>91.400938775096918</v>
      </c>
      <c r="R132" s="30">
        <v>1464.03</v>
      </c>
      <c r="S132" s="27">
        <f t="shared" si="30"/>
        <v>6.2431055903975276E-2</v>
      </c>
      <c r="T132" s="27">
        <f t="shared" si="18"/>
        <v>6.2E-2</v>
      </c>
      <c r="U132" s="27">
        <f t="shared" si="19"/>
        <v>7.5020000000000003E-2</v>
      </c>
    </row>
    <row r="133" spans="1:21">
      <c r="A133" s="65">
        <v>125</v>
      </c>
      <c r="B133" s="26" t="s">
        <v>189</v>
      </c>
      <c r="C133" s="78">
        <v>2.2000000000000002</v>
      </c>
      <c r="D133" s="27">
        <f t="shared" si="32"/>
        <v>2.9333333333333338E-4</v>
      </c>
      <c r="E133" s="28">
        <v>112.74</v>
      </c>
      <c r="F133" s="27">
        <f t="shared" si="31"/>
        <v>6.2633333333333333E-2</v>
      </c>
      <c r="G133" s="27">
        <f t="shared" si="20"/>
        <v>6.2926666666666672E-2</v>
      </c>
      <c r="H133" s="27">
        <f t="shared" si="17"/>
        <v>52.858400000000003</v>
      </c>
      <c r="I133" s="27">
        <f t="shared" si="21"/>
        <v>5.2858400000000003</v>
      </c>
      <c r="J133" s="27">
        <f t="shared" si="22"/>
        <v>5.2858400000000003</v>
      </c>
      <c r="K133" s="27">
        <f t="shared" si="23"/>
        <v>63.430080000000004</v>
      </c>
      <c r="L133" s="27">
        <f t="shared" si="24"/>
        <v>1.167113472</v>
      </c>
      <c r="M133" s="27">
        <f t="shared" si="25"/>
        <v>0.45433053333333334</v>
      </c>
      <c r="N133" s="27">
        <f t="shared" si="26"/>
        <v>10.254529600000001</v>
      </c>
      <c r="O133" s="27">
        <f t="shared" si="27"/>
        <v>75.306053605333332</v>
      </c>
      <c r="P133" s="27">
        <f t="shared" si="28"/>
        <v>3.0122421442133334</v>
      </c>
      <c r="Q133" s="28">
        <f t="shared" si="29"/>
        <v>78.318295749546664</v>
      </c>
      <c r="R133" s="30">
        <v>1072.6500000000001</v>
      </c>
      <c r="S133" s="27">
        <f t="shared" si="30"/>
        <v>7.3013840255019488E-2</v>
      </c>
      <c r="T133" s="27">
        <f t="shared" si="18"/>
        <v>7.2999999999999995E-2</v>
      </c>
      <c r="U133" s="27">
        <f t="shared" si="19"/>
        <v>8.8329999999999992E-2</v>
      </c>
    </row>
    <row r="134" spans="1:21">
      <c r="A134" s="65">
        <v>126</v>
      </c>
      <c r="B134" s="26" t="s">
        <v>190</v>
      </c>
      <c r="C134" s="78">
        <v>2.4900000000000002</v>
      </c>
      <c r="D134" s="27">
        <f t="shared" si="32"/>
        <v>3.3200000000000005E-4</v>
      </c>
      <c r="E134" s="28">
        <v>112.56</v>
      </c>
      <c r="F134" s="27">
        <f t="shared" si="31"/>
        <v>6.253333333333333E-2</v>
      </c>
      <c r="G134" s="27">
        <f t="shared" si="20"/>
        <v>6.2865333333333329E-2</v>
      </c>
      <c r="H134" s="27">
        <f t="shared" si="17"/>
        <v>52.806879999999992</v>
      </c>
      <c r="I134" s="27">
        <f t="shared" si="21"/>
        <v>5.2806879999999996</v>
      </c>
      <c r="J134" s="27">
        <f t="shared" si="22"/>
        <v>5.2806879999999996</v>
      </c>
      <c r="K134" s="27">
        <f t="shared" si="23"/>
        <v>63.368255999999988</v>
      </c>
      <c r="L134" s="27">
        <f t="shared" si="24"/>
        <v>1.1659759103999998</v>
      </c>
      <c r="M134" s="27">
        <f t="shared" si="25"/>
        <v>0.45388770666666661</v>
      </c>
      <c r="N134" s="27">
        <f t="shared" si="26"/>
        <v>10.244534719999999</v>
      </c>
      <c r="O134" s="27">
        <f t="shared" si="27"/>
        <v>75.232654337066649</v>
      </c>
      <c r="P134" s="27">
        <f t="shared" si="28"/>
        <v>3.009306173482666</v>
      </c>
      <c r="Q134" s="28">
        <f t="shared" si="29"/>
        <v>78.241960510549319</v>
      </c>
      <c r="R134" s="31">
        <v>1064.99</v>
      </c>
      <c r="S134" s="27">
        <f t="shared" si="30"/>
        <v>7.3467319421355426E-2</v>
      </c>
      <c r="T134" s="27">
        <f t="shared" si="18"/>
        <v>7.2999999999999995E-2</v>
      </c>
      <c r="U134" s="27">
        <f t="shared" si="19"/>
        <v>8.8329999999999992E-2</v>
      </c>
    </row>
    <row r="135" spans="1:21">
      <c r="A135" s="65">
        <v>127</v>
      </c>
      <c r="B135" s="26" t="s">
        <v>191</v>
      </c>
      <c r="C135" s="78">
        <v>2</v>
      </c>
      <c r="D135" s="27">
        <f t="shared" si="32"/>
        <v>2.6666666666666668E-4</v>
      </c>
      <c r="E135" s="25">
        <v>112.93</v>
      </c>
      <c r="F135" s="27">
        <f t="shared" si="31"/>
        <v>6.27388888888889E-2</v>
      </c>
      <c r="G135" s="27">
        <f t="shared" si="20"/>
        <v>6.3005555555555565E-2</v>
      </c>
      <c r="H135" s="27">
        <f t="shared" si="17"/>
        <v>52.924666666666674</v>
      </c>
      <c r="I135" s="27">
        <f t="shared" si="21"/>
        <v>5.2924666666666678</v>
      </c>
      <c r="J135" s="27">
        <f t="shared" si="22"/>
        <v>5.2924666666666678</v>
      </c>
      <c r="K135" s="27">
        <f t="shared" si="23"/>
        <v>63.509600000000013</v>
      </c>
      <c r="L135" s="27">
        <f t="shared" si="24"/>
        <v>1.1685766400000002</v>
      </c>
      <c r="M135" s="27">
        <f t="shared" si="25"/>
        <v>0.45490011111111117</v>
      </c>
      <c r="N135" s="27">
        <f t="shared" si="26"/>
        <v>10.267385333333335</v>
      </c>
      <c r="O135" s="27">
        <f t="shared" si="27"/>
        <v>75.40046208444447</v>
      </c>
      <c r="P135" s="27">
        <f t="shared" si="28"/>
        <v>3.016018483377779</v>
      </c>
      <c r="Q135" s="28">
        <f t="shared" si="29"/>
        <v>78.416480567822248</v>
      </c>
      <c r="R135" s="31">
        <v>1064.52</v>
      </c>
      <c r="S135" s="27">
        <f t="shared" si="30"/>
        <v>7.3663698726019466E-2</v>
      </c>
      <c r="T135" s="27">
        <f t="shared" si="18"/>
        <v>7.3999999999999996E-2</v>
      </c>
      <c r="U135" s="27">
        <f t="shared" si="19"/>
        <v>8.9539999999999995E-2</v>
      </c>
    </row>
    <row r="136" spans="1:21">
      <c r="A136" s="65">
        <v>128</v>
      </c>
      <c r="B136" s="26" t="s">
        <v>192</v>
      </c>
      <c r="C136" s="78">
        <v>6.22</v>
      </c>
      <c r="D136" s="27">
        <f t="shared" si="32"/>
        <v>8.2933333333333329E-4</v>
      </c>
      <c r="E136" s="28">
        <v>229.47</v>
      </c>
      <c r="F136" s="27">
        <f t="shared" si="31"/>
        <v>0.12748333333333334</v>
      </c>
      <c r="G136" s="27">
        <f t="shared" si="20"/>
        <v>0.12831266666666666</v>
      </c>
      <c r="H136" s="27">
        <f t="shared" si="17"/>
        <v>107.78263999999999</v>
      </c>
      <c r="I136" s="27">
        <f t="shared" si="21"/>
        <v>10.778264</v>
      </c>
      <c r="J136" s="27">
        <f t="shared" si="22"/>
        <v>10.778264</v>
      </c>
      <c r="K136" s="27">
        <f t="shared" si="23"/>
        <v>129.339168</v>
      </c>
      <c r="L136" s="27">
        <f t="shared" si="24"/>
        <v>2.3798406912000001</v>
      </c>
      <c r="M136" s="27">
        <f t="shared" si="25"/>
        <v>0.92641745333333325</v>
      </c>
      <c r="N136" s="27">
        <f t="shared" si="26"/>
        <v>20.909832159999997</v>
      </c>
      <c r="O136" s="27">
        <f t="shared" si="27"/>
        <v>153.55525830453334</v>
      </c>
      <c r="P136" s="27">
        <f t="shared" si="28"/>
        <v>6.1422103321813335</v>
      </c>
      <c r="Q136" s="28">
        <f t="shared" si="29"/>
        <v>159.69746863671466</v>
      </c>
      <c r="R136" s="30">
        <v>1979.84</v>
      </c>
      <c r="S136" s="27">
        <f t="shared" si="30"/>
        <v>8.0661805315942026E-2</v>
      </c>
      <c r="T136" s="27">
        <f t="shared" si="18"/>
        <v>8.1000000000000003E-2</v>
      </c>
      <c r="U136" s="27">
        <f t="shared" si="19"/>
        <v>9.801E-2</v>
      </c>
    </row>
    <row r="137" spans="1:21">
      <c r="A137" s="65">
        <v>129</v>
      </c>
      <c r="B137" s="26" t="s">
        <v>193</v>
      </c>
      <c r="C137" s="78">
        <v>2.06</v>
      </c>
      <c r="D137" s="27">
        <f t="shared" si="32"/>
        <v>2.7466666666666666E-4</v>
      </c>
      <c r="E137" s="28">
        <v>113.66</v>
      </c>
      <c r="F137" s="27">
        <f t="shared" si="31"/>
        <v>6.3144444444444447E-2</v>
      </c>
      <c r="G137" s="27">
        <f t="shared" si="20"/>
        <v>6.3419111111111121E-2</v>
      </c>
      <c r="H137" s="27">
        <f t="shared" si="17"/>
        <v>53.272053333333339</v>
      </c>
      <c r="I137" s="27">
        <f t="shared" si="21"/>
        <v>5.3272053333333345</v>
      </c>
      <c r="J137" s="27">
        <f t="shared" si="22"/>
        <v>5.3272053333333345</v>
      </c>
      <c r="K137" s="27">
        <f t="shared" si="23"/>
        <v>63.926464000000003</v>
      </c>
      <c r="L137" s="27">
        <f t="shared" si="24"/>
        <v>1.1762469376</v>
      </c>
      <c r="M137" s="27">
        <f t="shared" si="25"/>
        <v>0.45788598222222227</v>
      </c>
      <c r="N137" s="27">
        <f t="shared" si="26"/>
        <v>10.334778346666669</v>
      </c>
      <c r="O137" s="27">
        <f t="shared" si="27"/>
        <v>75.895375266488898</v>
      </c>
      <c r="P137" s="27">
        <f t="shared" si="28"/>
        <v>3.0358150106595558</v>
      </c>
      <c r="Q137" s="28">
        <f t="shared" si="29"/>
        <v>78.93119027714846</v>
      </c>
      <c r="R137" s="30">
        <v>1078.0899999999999</v>
      </c>
      <c r="S137" s="27">
        <f t="shared" si="30"/>
        <v>7.3213915607369021E-2</v>
      </c>
      <c r="T137" s="27">
        <f t="shared" si="18"/>
        <v>7.2999999999999995E-2</v>
      </c>
      <c r="U137" s="27">
        <f t="shared" si="19"/>
        <v>8.8329999999999992E-2</v>
      </c>
    </row>
    <row r="138" spans="1:21">
      <c r="A138" s="65">
        <v>130</v>
      </c>
      <c r="B138" s="26" t="s">
        <v>194</v>
      </c>
      <c r="C138" s="78">
        <v>32.97</v>
      </c>
      <c r="D138" s="27">
        <f t="shared" si="32"/>
        <v>4.3959999999999997E-3</v>
      </c>
      <c r="E138" s="28">
        <v>262.14999999999998</v>
      </c>
      <c r="F138" s="27">
        <f t="shared" si="31"/>
        <v>0.14563888888888887</v>
      </c>
      <c r="G138" s="27">
        <f t="shared" si="20"/>
        <v>0.15003488888888888</v>
      </c>
      <c r="H138" s="27">
        <f t="shared" si="17"/>
        <v>126.02930666666666</v>
      </c>
      <c r="I138" s="27">
        <f t="shared" si="21"/>
        <v>12.602930666666666</v>
      </c>
      <c r="J138" s="27">
        <f t="shared" si="22"/>
        <v>12.602930666666666</v>
      </c>
      <c r="K138" s="27">
        <f t="shared" si="23"/>
        <v>151.23516799999999</v>
      </c>
      <c r="L138" s="27">
        <f t="shared" si="24"/>
        <v>2.7827270911999995</v>
      </c>
      <c r="M138" s="27">
        <f t="shared" si="25"/>
        <v>1.0832518977777776</v>
      </c>
      <c r="N138" s="27">
        <f t="shared" si="26"/>
        <v>24.44968549333333</v>
      </c>
      <c r="O138" s="27">
        <f t="shared" si="27"/>
        <v>179.55083248231111</v>
      </c>
      <c r="P138" s="27">
        <f t="shared" si="28"/>
        <v>7.1820332992924447</v>
      </c>
      <c r="Q138" s="28">
        <f t="shared" si="29"/>
        <v>186.73286578160355</v>
      </c>
      <c r="R138" s="30">
        <v>2727.05</v>
      </c>
      <c r="S138" s="27">
        <f t="shared" si="30"/>
        <v>6.847430952186559E-2</v>
      </c>
      <c r="T138" s="27">
        <f t="shared" si="18"/>
        <v>6.8000000000000005E-2</v>
      </c>
      <c r="U138" s="27">
        <f t="shared" si="19"/>
        <v>8.2280000000000006E-2</v>
      </c>
    </row>
    <row r="139" spans="1:21">
      <c r="A139" s="65">
        <v>131</v>
      </c>
      <c r="B139" s="26" t="s">
        <v>195</v>
      </c>
      <c r="C139" s="78">
        <v>11.43</v>
      </c>
      <c r="D139" s="27">
        <f t="shared" si="32"/>
        <v>1.524E-3</v>
      </c>
      <c r="E139" s="28">
        <v>195.56</v>
      </c>
      <c r="F139" s="27">
        <f t="shared" si="31"/>
        <v>0.10864444444444445</v>
      </c>
      <c r="G139" s="27">
        <f t="shared" si="20"/>
        <v>0.11016844444444444</v>
      </c>
      <c r="H139" s="27">
        <f t="shared" si="17"/>
        <v>92.541493333333335</v>
      </c>
      <c r="I139" s="27">
        <f t="shared" si="21"/>
        <v>9.2541493333333342</v>
      </c>
      <c r="J139" s="27">
        <f t="shared" si="22"/>
        <v>9.2541493333333342</v>
      </c>
      <c r="K139" s="27">
        <f t="shared" si="23"/>
        <v>111.049792</v>
      </c>
      <c r="L139" s="27">
        <f t="shared" si="24"/>
        <v>2.0433161728</v>
      </c>
      <c r="M139" s="27">
        <f t="shared" si="25"/>
        <v>0.79541616888888889</v>
      </c>
      <c r="N139" s="27">
        <f t="shared" si="26"/>
        <v>17.953049706666668</v>
      </c>
      <c r="O139" s="27">
        <f t="shared" si="27"/>
        <v>131.84157404835557</v>
      </c>
      <c r="P139" s="27">
        <f t="shared" si="28"/>
        <v>5.2736629619342228</v>
      </c>
      <c r="Q139" s="28">
        <f t="shared" si="29"/>
        <v>137.1152370102898</v>
      </c>
      <c r="R139" s="30">
        <v>2196.1999999999998</v>
      </c>
      <c r="S139" s="27">
        <f t="shared" si="30"/>
        <v>6.2432946457649491E-2</v>
      </c>
      <c r="T139" s="27">
        <f t="shared" si="18"/>
        <v>6.2E-2</v>
      </c>
      <c r="U139" s="27">
        <f t="shared" si="19"/>
        <v>7.5020000000000003E-2</v>
      </c>
    </row>
    <row r="140" spans="1:21">
      <c r="A140" s="65">
        <v>132</v>
      </c>
      <c r="B140" s="26" t="s">
        <v>196</v>
      </c>
      <c r="C140" s="78">
        <v>3.81</v>
      </c>
      <c r="D140" s="27">
        <f>C140/7500</f>
        <v>5.0799999999999999E-4</v>
      </c>
      <c r="E140" s="28">
        <v>65.19</v>
      </c>
      <c r="F140" s="27">
        <f t="shared" si="31"/>
        <v>3.6216666666666668E-2</v>
      </c>
      <c r="G140" s="27">
        <f t="shared" si="20"/>
        <v>3.6724666666666669E-2</v>
      </c>
      <c r="H140" s="27">
        <f t="shared" si="17"/>
        <v>30.848720000000004</v>
      </c>
      <c r="I140" s="27">
        <f t="shared" si="21"/>
        <v>3.0848720000000007</v>
      </c>
      <c r="J140" s="27">
        <f t="shared" si="22"/>
        <v>3.0848720000000007</v>
      </c>
      <c r="K140" s="27">
        <f t="shared" si="23"/>
        <v>37.018464000000009</v>
      </c>
      <c r="L140" s="27">
        <f t="shared" si="24"/>
        <v>0.68113973760000013</v>
      </c>
      <c r="M140" s="27">
        <f t="shared" si="25"/>
        <v>0.26515209333333334</v>
      </c>
      <c r="N140" s="27">
        <f t="shared" si="26"/>
        <v>5.9846516800000007</v>
      </c>
      <c r="O140" s="27">
        <f t="shared" si="27"/>
        <v>43.949407510933341</v>
      </c>
      <c r="P140" s="27">
        <f t="shared" si="28"/>
        <v>1.7579763004373337</v>
      </c>
      <c r="Q140" s="28">
        <f t="shared" si="29"/>
        <v>45.707383811370676</v>
      </c>
      <c r="R140" s="30">
        <v>730.44</v>
      </c>
      <c r="S140" s="27">
        <f t="shared" si="30"/>
        <v>6.2575138014581172E-2</v>
      </c>
      <c r="T140" s="27">
        <f t="shared" si="18"/>
        <v>6.3E-2</v>
      </c>
      <c r="U140" s="27">
        <f t="shared" si="19"/>
        <v>7.6229999999999992E-2</v>
      </c>
    </row>
    <row r="141" spans="1:21">
      <c r="A141" s="65">
        <v>133</v>
      </c>
      <c r="B141" s="26" t="s">
        <v>197</v>
      </c>
      <c r="C141" s="78">
        <f>8+4</f>
        <v>12</v>
      </c>
      <c r="D141" s="27">
        <f t="shared" si="32"/>
        <v>1.6000000000000001E-3</v>
      </c>
      <c r="E141" s="28">
        <f>127.28+63.64</f>
        <v>190.92000000000002</v>
      </c>
      <c r="F141" s="27">
        <f t="shared" si="31"/>
        <v>0.10606666666666667</v>
      </c>
      <c r="G141" s="27">
        <f t="shared" si="20"/>
        <v>0.10766666666666667</v>
      </c>
      <c r="H141" s="27">
        <f t="shared" si="17"/>
        <v>90.440000000000012</v>
      </c>
      <c r="I141" s="27">
        <f t="shared" si="21"/>
        <v>9.0440000000000023</v>
      </c>
      <c r="J141" s="27">
        <f t="shared" si="22"/>
        <v>9.0440000000000023</v>
      </c>
      <c r="K141" s="27">
        <f t="shared" si="23"/>
        <v>108.52800000000001</v>
      </c>
      <c r="L141" s="27">
        <f t="shared" si="24"/>
        <v>1.9969152000000001</v>
      </c>
      <c r="M141" s="27">
        <f t="shared" si="25"/>
        <v>0.77735333333333334</v>
      </c>
      <c r="N141" s="27">
        <f t="shared" si="26"/>
        <v>17.545360000000002</v>
      </c>
      <c r="O141" s="27">
        <f t="shared" si="27"/>
        <v>128.84762853333336</v>
      </c>
      <c r="P141" s="27">
        <f t="shared" si="28"/>
        <v>5.1539051413333343</v>
      </c>
      <c r="Q141" s="28">
        <f t="shared" si="29"/>
        <v>134.00153367466669</v>
      </c>
      <c r="R141" s="30">
        <v>2157.75</v>
      </c>
      <c r="S141" s="27">
        <f t="shared" si="30"/>
        <v>6.210243711026147E-2</v>
      </c>
      <c r="T141" s="27">
        <f t="shared" si="18"/>
        <v>6.2E-2</v>
      </c>
      <c r="U141" s="27">
        <f t="shared" si="19"/>
        <v>7.5020000000000003E-2</v>
      </c>
    </row>
    <row r="142" spans="1:21">
      <c r="A142" s="65">
        <v>134</v>
      </c>
      <c r="B142" s="26" t="s">
        <v>198</v>
      </c>
      <c r="C142" s="78">
        <v>11.43</v>
      </c>
      <c r="D142" s="27">
        <f t="shared" si="32"/>
        <v>1.524E-3</v>
      </c>
      <c r="E142" s="28">
        <v>195.56</v>
      </c>
      <c r="F142" s="27">
        <f t="shared" si="31"/>
        <v>0.10864444444444445</v>
      </c>
      <c r="G142" s="27">
        <f t="shared" si="20"/>
        <v>0.11016844444444444</v>
      </c>
      <c r="H142" s="27">
        <f t="shared" si="17"/>
        <v>92.541493333333335</v>
      </c>
      <c r="I142" s="27">
        <f t="shared" si="21"/>
        <v>9.2541493333333342</v>
      </c>
      <c r="J142" s="27">
        <f t="shared" si="22"/>
        <v>9.2541493333333342</v>
      </c>
      <c r="K142" s="27">
        <f t="shared" si="23"/>
        <v>111.049792</v>
      </c>
      <c r="L142" s="27">
        <f t="shared" si="24"/>
        <v>2.0433161728</v>
      </c>
      <c r="M142" s="27">
        <f t="shared" si="25"/>
        <v>0.79541616888888889</v>
      </c>
      <c r="N142" s="27">
        <f t="shared" si="26"/>
        <v>17.953049706666668</v>
      </c>
      <c r="O142" s="27">
        <f t="shared" si="27"/>
        <v>131.84157404835557</v>
      </c>
      <c r="P142" s="27">
        <f t="shared" si="28"/>
        <v>5.2736629619342228</v>
      </c>
      <c r="Q142" s="28">
        <f t="shared" si="29"/>
        <v>137.1152370102898</v>
      </c>
      <c r="R142" s="30">
        <v>2190.1</v>
      </c>
      <c r="S142" s="27">
        <f t="shared" si="30"/>
        <v>6.2606838505223417E-2</v>
      </c>
      <c r="T142" s="27">
        <f t="shared" si="18"/>
        <v>6.3E-2</v>
      </c>
      <c r="U142" s="27">
        <f t="shared" si="19"/>
        <v>7.6229999999999992E-2</v>
      </c>
    </row>
    <row r="143" spans="1:21">
      <c r="A143" s="65">
        <v>135</v>
      </c>
      <c r="B143" s="26" t="s">
        <v>228</v>
      </c>
      <c r="C143" s="2">
        <f>8+8</f>
        <v>16</v>
      </c>
      <c r="D143" s="27">
        <f>C143/7500</f>
        <v>2.1333333333333334E-3</v>
      </c>
      <c r="E143" s="2">
        <f>62.8+63.5</f>
        <v>126.3</v>
      </c>
      <c r="F143" s="27">
        <f>E143/1800</f>
        <v>7.0166666666666669E-2</v>
      </c>
      <c r="G143" s="27">
        <f t="shared" si="20"/>
        <v>7.2300000000000003E-2</v>
      </c>
      <c r="H143" s="27">
        <f t="shared" si="17"/>
        <v>60.731999999999999</v>
      </c>
      <c r="I143" s="27">
        <f t="shared" si="21"/>
        <v>6.0731999999999999</v>
      </c>
      <c r="J143" s="27">
        <f t="shared" si="22"/>
        <v>6.0731999999999999</v>
      </c>
      <c r="K143" s="27">
        <f t="shared" si="23"/>
        <v>72.878399999999999</v>
      </c>
      <c r="L143" s="27">
        <f t="shared" si="24"/>
        <v>1.3409625599999999</v>
      </c>
      <c r="M143" s="27">
        <f t="shared" si="25"/>
        <v>0.52200599999999997</v>
      </c>
      <c r="N143" s="27">
        <f t="shared" si="26"/>
        <v>11.782007999999999</v>
      </c>
      <c r="O143" s="27">
        <f t="shared" si="27"/>
        <v>86.523376560000003</v>
      </c>
      <c r="P143" s="27">
        <f t="shared" si="28"/>
        <v>3.4609350624000004</v>
      </c>
      <c r="Q143" s="28">
        <f t="shared" si="29"/>
        <v>89.9843116224</v>
      </c>
      <c r="R143" s="30">
        <f>684.18+663.75</f>
        <v>1347.9299999999998</v>
      </c>
      <c r="S143" s="27">
        <f t="shared" si="30"/>
        <v>6.6757407003627797E-2</v>
      </c>
      <c r="T143" s="27">
        <f t="shared" si="18"/>
        <v>6.7000000000000004E-2</v>
      </c>
      <c r="U143" s="27">
        <f t="shared" si="19"/>
        <v>8.1070000000000003E-2</v>
      </c>
    </row>
    <row r="144" spans="1:21">
      <c r="A144" s="65">
        <v>136</v>
      </c>
      <c r="B144" s="26" t="s">
        <v>226</v>
      </c>
      <c r="C144">
        <v>0.66916614121510676</v>
      </c>
      <c r="D144">
        <v>562.09955862068966</v>
      </c>
      <c r="E144">
        <v>56.209955862068966</v>
      </c>
      <c r="F144">
        <v>56.209955862068966</v>
      </c>
      <c r="G144">
        <v>674.5194703448276</v>
      </c>
      <c r="H144">
        <v>12.411158254344828</v>
      </c>
      <c r="I144"/>
      <c r="J144">
        <v>4.8313795395730708</v>
      </c>
      <c r="K144">
        <v>109.04731437241379</v>
      </c>
      <c r="L144">
        <v>800.80932251115928</v>
      </c>
      <c r="M144">
        <v>32.032372900446369</v>
      </c>
      <c r="N144">
        <v>832.84169541160566</v>
      </c>
      <c r="O144">
        <v>4969.26</v>
      </c>
      <c r="P144">
        <v>0.16759873611193732</v>
      </c>
      <c r="Q144">
        <v>0.16800000000000001</v>
      </c>
      <c r="R144" s="30"/>
      <c r="S144" s="27"/>
      <c r="T144" s="27">
        <v>0.16800000000000001</v>
      </c>
      <c r="U144" s="27">
        <f t="shared" si="19"/>
        <v>0.20328000000000002</v>
      </c>
    </row>
    <row r="145" spans="1:21">
      <c r="A145" s="65">
        <v>137</v>
      </c>
      <c r="B145" s="26" t="s">
        <v>199</v>
      </c>
      <c r="C145" s="78">
        <v>1.49</v>
      </c>
      <c r="D145" s="27">
        <f t="shared" si="32"/>
        <v>1.9866666666666665E-4</v>
      </c>
      <c r="E145" s="28">
        <v>112.86</v>
      </c>
      <c r="F145" s="27">
        <f t="shared" si="31"/>
        <v>6.2700000000000006E-2</v>
      </c>
      <c r="G145" s="27">
        <f t="shared" si="20"/>
        <v>6.2898666666666672E-2</v>
      </c>
      <c r="H145" s="27">
        <f t="shared" si="17"/>
        <v>52.834880000000005</v>
      </c>
      <c r="I145" s="27">
        <f t="shared" si="21"/>
        <v>5.2834880000000011</v>
      </c>
      <c r="J145" s="27">
        <f t="shared" si="22"/>
        <v>5.2834880000000011</v>
      </c>
      <c r="K145" s="27">
        <f t="shared" si="23"/>
        <v>63.401856000000002</v>
      </c>
      <c r="L145" s="27">
        <f t="shared" si="24"/>
        <v>1.1665941503999999</v>
      </c>
      <c r="M145" s="27">
        <f t="shared" si="25"/>
        <v>0.45412837333333334</v>
      </c>
      <c r="N145" s="27">
        <f t="shared" si="26"/>
        <v>10.249966720000002</v>
      </c>
      <c r="O145" s="27">
        <f t="shared" si="27"/>
        <v>75.272545243733333</v>
      </c>
      <c r="P145" s="27">
        <f t="shared" si="28"/>
        <v>3.0109018097493334</v>
      </c>
      <c r="Q145" s="28">
        <f t="shared" si="29"/>
        <v>78.283447053482661</v>
      </c>
      <c r="R145" s="30">
        <v>1098.55</v>
      </c>
      <c r="S145" s="27">
        <f t="shared" si="30"/>
        <v>7.126070461379333E-2</v>
      </c>
      <c r="T145" s="27">
        <f t="shared" si="18"/>
        <v>7.0999999999999994E-2</v>
      </c>
      <c r="U145" s="27">
        <f t="shared" si="19"/>
        <v>8.5909999999999986E-2</v>
      </c>
    </row>
    <row r="146" spans="1:21">
      <c r="A146" s="65">
        <v>138</v>
      </c>
      <c r="B146" s="26" t="s">
        <v>200</v>
      </c>
      <c r="C146" s="78">
        <v>29.52</v>
      </c>
      <c r="D146" s="27">
        <f>C146/7500</f>
        <v>3.9360000000000003E-3</v>
      </c>
      <c r="E146" s="28">
        <v>261.42</v>
      </c>
      <c r="F146" s="27">
        <f t="shared" si="31"/>
        <v>0.14523333333333335</v>
      </c>
      <c r="G146" s="27">
        <f t="shared" si="20"/>
        <v>0.14916933333333335</v>
      </c>
      <c r="H146" s="27">
        <f t="shared" si="17"/>
        <v>125.30224000000001</v>
      </c>
      <c r="I146" s="27">
        <f t="shared" si="21"/>
        <v>12.530224000000002</v>
      </c>
      <c r="J146" s="27">
        <f t="shared" si="22"/>
        <v>12.530224000000002</v>
      </c>
      <c r="K146" s="27">
        <f t="shared" si="23"/>
        <v>150.36268800000002</v>
      </c>
      <c r="L146" s="27">
        <f t="shared" si="24"/>
        <v>2.7666734592000002</v>
      </c>
      <c r="M146" s="27">
        <f t="shared" si="25"/>
        <v>1.0770025866666668</v>
      </c>
      <c r="N146" s="27">
        <f t="shared" si="26"/>
        <v>24.308634560000002</v>
      </c>
      <c r="O146" s="27">
        <f t="shared" si="27"/>
        <v>178.51499860586671</v>
      </c>
      <c r="P146" s="27">
        <f t="shared" si="28"/>
        <v>7.1405999442346682</v>
      </c>
      <c r="Q146" s="28">
        <f t="shared" si="29"/>
        <v>185.65559855010139</v>
      </c>
      <c r="R146" s="30">
        <v>2715.58</v>
      </c>
      <c r="S146" s="27">
        <f t="shared" si="30"/>
        <v>6.8366830861216171E-2</v>
      </c>
      <c r="T146" s="27">
        <f t="shared" si="18"/>
        <v>6.8000000000000005E-2</v>
      </c>
      <c r="U146" s="27">
        <f t="shared" si="19"/>
        <v>8.2280000000000006E-2</v>
      </c>
    </row>
    <row r="147" spans="1:21">
      <c r="A147" s="65">
        <v>139</v>
      </c>
      <c r="B147" s="26" t="s">
        <v>201</v>
      </c>
      <c r="C147" s="78">
        <v>2.34</v>
      </c>
      <c r="D147" s="27">
        <f t="shared" si="32"/>
        <v>3.1199999999999999E-4</v>
      </c>
      <c r="E147" s="28">
        <v>112.72</v>
      </c>
      <c r="F147" s="27">
        <f t="shared" si="31"/>
        <v>6.2622222222222218E-2</v>
      </c>
      <c r="G147" s="27">
        <f t="shared" si="20"/>
        <v>6.2934222222222225E-2</v>
      </c>
      <c r="H147" s="27">
        <f t="shared" si="17"/>
        <v>52.864746666666669</v>
      </c>
      <c r="I147" s="27">
        <f t="shared" si="21"/>
        <v>5.2864746666666669</v>
      </c>
      <c r="J147" s="27">
        <f t="shared" si="22"/>
        <v>5.2864746666666669</v>
      </c>
      <c r="K147" s="27">
        <f t="shared" si="23"/>
        <v>63.437696000000003</v>
      </c>
      <c r="L147" s="27">
        <f t="shared" si="24"/>
        <v>1.1672536064000001</v>
      </c>
      <c r="M147" s="27">
        <f t="shared" si="25"/>
        <v>0.45438508444444442</v>
      </c>
      <c r="N147" s="27">
        <f t="shared" si="26"/>
        <v>10.255760853333333</v>
      </c>
      <c r="O147" s="27">
        <f t="shared" si="27"/>
        <v>75.315095544177765</v>
      </c>
      <c r="P147" s="27">
        <f t="shared" si="28"/>
        <v>3.0126038217671107</v>
      </c>
      <c r="Q147" s="28">
        <f t="shared" si="29"/>
        <v>78.327699365944881</v>
      </c>
      <c r="R147" s="30">
        <v>1073.56</v>
      </c>
      <c r="S147" s="27">
        <f t="shared" si="30"/>
        <v>7.2960709569977356E-2</v>
      </c>
      <c r="T147" s="27">
        <f t="shared" si="18"/>
        <v>7.2999999999999995E-2</v>
      </c>
      <c r="U147" s="27">
        <f t="shared" si="19"/>
        <v>8.8329999999999992E-2</v>
      </c>
    </row>
    <row r="148" spans="1:21">
      <c r="A148" s="65">
        <v>140</v>
      </c>
      <c r="B148" s="26" t="s">
        <v>220</v>
      </c>
      <c r="C148">
        <v>0.27660664035452154</v>
      </c>
      <c r="D148">
        <v>232.3495778977981</v>
      </c>
      <c r="E148">
        <v>23.234957789779813</v>
      </c>
      <c r="F148">
        <v>23.234957789779813</v>
      </c>
      <c r="G148">
        <v>278.8194934773577</v>
      </c>
      <c r="H148">
        <v>5.1302786799833813</v>
      </c>
      <c r="I148"/>
      <c r="J148">
        <v>1.9970999433596455</v>
      </c>
      <c r="K148">
        <v>45.075818112172833</v>
      </c>
      <c r="L148">
        <v>331.02269021287361</v>
      </c>
      <c r="M148">
        <v>13.240907608514945</v>
      </c>
      <c r="N148">
        <v>344.26359782138854</v>
      </c>
      <c r="O148">
        <v>2123.29</v>
      </c>
      <c r="P148">
        <v>0.16213687146898847</v>
      </c>
      <c r="Q148">
        <v>0.16200000000000001</v>
      </c>
      <c r="R148" s="30"/>
      <c r="S148" s="27"/>
      <c r="T148" s="27">
        <v>0.16200000000000001</v>
      </c>
      <c r="U148" s="27">
        <f t="shared" si="19"/>
        <v>0.19602</v>
      </c>
    </row>
    <row r="149" spans="1:21">
      <c r="A149" s="65">
        <v>141</v>
      </c>
      <c r="B149" s="26" t="s">
        <v>202</v>
      </c>
      <c r="C149" s="78">
        <v>28.61</v>
      </c>
      <c r="D149" s="27">
        <f t="shared" si="32"/>
        <v>3.8146666666666667E-3</v>
      </c>
      <c r="E149" s="28">
        <v>262.66000000000003</v>
      </c>
      <c r="F149" s="27">
        <f t="shared" si="31"/>
        <v>0.14592222222222223</v>
      </c>
      <c r="G149" s="27">
        <f t="shared" si="20"/>
        <v>0.14973688888888889</v>
      </c>
      <c r="H149" s="27">
        <f t="shared" si="17"/>
        <v>125.77898666666667</v>
      </c>
      <c r="I149" s="27">
        <f t="shared" si="21"/>
        <v>12.577898666666668</v>
      </c>
      <c r="J149" s="27">
        <f t="shared" si="22"/>
        <v>12.577898666666668</v>
      </c>
      <c r="K149" s="27">
        <f t="shared" si="23"/>
        <v>150.93478400000001</v>
      </c>
      <c r="L149" s="27">
        <f t="shared" si="24"/>
        <v>2.7772000256</v>
      </c>
      <c r="M149" s="27">
        <f t="shared" si="25"/>
        <v>1.0811003377777777</v>
      </c>
      <c r="N149" s="27">
        <f t="shared" si="26"/>
        <v>24.401123413333334</v>
      </c>
      <c r="O149" s="27">
        <f t="shared" si="27"/>
        <v>179.1942077767111</v>
      </c>
      <c r="P149" s="27">
        <f t="shared" si="28"/>
        <v>7.1677683110684436</v>
      </c>
      <c r="Q149" s="28">
        <f t="shared" si="29"/>
        <v>186.36197608777954</v>
      </c>
      <c r="R149" s="30">
        <v>2726.55</v>
      </c>
      <c r="S149" s="27">
        <f t="shared" si="30"/>
        <v>6.8350837537466583E-2</v>
      </c>
      <c r="T149" s="27">
        <f t="shared" si="18"/>
        <v>6.8000000000000005E-2</v>
      </c>
      <c r="U149" s="27">
        <f t="shared" si="19"/>
        <v>8.2280000000000006E-2</v>
      </c>
    </row>
    <row r="150" spans="1:21">
      <c r="A150" s="65">
        <v>142</v>
      </c>
      <c r="B150" s="26" t="s">
        <v>203</v>
      </c>
      <c r="C150" s="78">
        <v>13.16</v>
      </c>
      <c r="D150" s="27">
        <f t="shared" si="32"/>
        <v>1.7546666666666667E-3</v>
      </c>
      <c r="E150" s="28">
        <v>131.37</v>
      </c>
      <c r="F150" s="27">
        <f t="shared" si="31"/>
        <v>7.2983333333333331E-2</v>
      </c>
      <c r="G150" s="27">
        <f t="shared" si="20"/>
        <v>7.4737999999999999E-2</v>
      </c>
      <c r="H150" s="27">
        <f t="shared" si="17"/>
        <v>62.779919999999997</v>
      </c>
      <c r="I150" s="27">
        <f t="shared" si="21"/>
        <v>6.2779920000000002</v>
      </c>
      <c r="J150" s="27">
        <f t="shared" si="22"/>
        <v>6.2779920000000002</v>
      </c>
      <c r="K150" s="27">
        <f t="shared" si="23"/>
        <v>75.335903999999999</v>
      </c>
      <c r="L150" s="27">
        <f t="shared" si="24"/>
        <v>1.3861806336</v>
      </c>
      <c r="M150" s="27">
        <f t="shared" si="25"/>
        <v>0.53960836000000001</v>
      </c>
      <c r="N150" s="27">
        <f t="shared" si="26"/>
        <v>12.179304479999999</v>
      </c>
      <c r="O150" s="27">
        <f t="shared" si="27"/>
        <v>89.440997473600007</v>
      </c>
      <c r="P150" s="27">
        <f t="shared" si="28"/>
        <v>3.5776398989440001</v>
      </c>
      <c r="Q150" s="28">
        <f t="shared" si="29"/>
        <v>93.018637372544006</v>
      </c>
      <c r="R150" s="30">
        <v>1367.37</v>
      </c>
      <c r="S150" s="27">
        <f t="shared" si="30"/>
        <v>6.8027408362435926E-2</v>
      </c>
      <c r="T150" s="27">
        <f t="shared" si="18"/>
        <v>6.8000000000000005E-2</v>
      </c>
      <c r="U150" s="27">
        <f t="shared" si="19"/>
        <v>8.2280000000000006E-2</v>
      </c>
    </row>
    <row r="151" spans="1:21">
      <c r="A151" s="65">
        <v>143</v>
      </c>
      <c r="B151" s="26" t="s">
        <v>204</v>
      </c>
      <c r="C151" s="78">
        <v>1</v>
      </c>
      <c r="D151" s="27">
        <f t="shared" si="32"/>
        <v>1.3333333333333334E-4</v>
      </c>
      <c r="E151" s="28">
        <v>112.91</v>
      </c>
      <c r="F151" s="27">
        <f t="shared" si="31"/>
        <v>6.2727777777777771E-2</v>
      </c>
      <c r="G151" s="27">
        <f t="shared" si="20"/>
        <v>6.2861111111111104E-2</v>
      </c>
      <c r="H151" s="27">
        <f t="shared" si="17"/>
        <v>52.803333333333327</v>
      </c>
      <c r="I151" s="27">
        <f t="shared" si="21"/>
        <v>5.2803333333333331</v>
      </c>
      <c r="J151" s="27">
        <f t="shared" si="22"/>
        <v>5.2803333333333331</v>
      </c>
      <c r="K151" s="27">
        <f t="shared" si="23"/>
        <v>63.36399999999999</v>
      </c>
      <c r="L151" s="27">
        <f t="shared" si="24"/>
        <v>1.1658975999999999</v>
      </c>
      <c r="M151" s="27">
        <f t="shared" si="25"/>
        <v>0.45385722222222213</v>
      </c>
      <c r="N151" s="27">
        <f t="shared" si="26"/>
        <v>10.243846666666666</v>
      </c>
      <c r="O151" s="27">
        <f t="shared" si="27"/>
        <v>75.22760148888888</v>
      </c>
      <c r="P151" s="27">
        <f t="shared" si="28"/>
        <v>3.0091040595555554</v>
      </c>
      <c r="Q151" s="28">
        <f t="shared" si="29"/>
        <v>78.236705548444434</v>
      </c>
      <c r="R151" s="30">
        <v>1103.23</v>
      </c>
      <c r="S151" s="27">
        <f t="shared" si="30"/>
        <v>7.0916042482931416E-2</v>
      </c>
      <c r="T151" s="27">
        <f t="shared" si="18"/>
        <v>7.0999999999999994E-2</v>
      </c>
      <c r="U151" s="27">
        <f t="shared" si="19"/>
        <v>8.5909999999999986E-2</v>
      </c>
    </row>
    <row r="152" spans="1:21" hidden="1">
      <c r="A152" s="25"/>
      <c r="B152" s="26"/>
      <c r="C152" s="27"/>
      <c r="D152" s="25"/>
      <c r="E152" s="27"/>
      <c r="F152" s="28"/>
      <c r="G152" s="27"/>
      <c r="H152" s="28"/>
      <c r="I152" s="30"/>
      <c r="J152" s="27"/>
      <c r="S152" s="27">
        <f>SUM(S12:S151)</f>
        <v>9.1163089325345013</v>
      </c>
      <c r="T152" s="24">
        <f>SUM(T12:T151)</f>
        <v>11.614000000000003</v>
      </c>
      <c r="U152" s="6">
        <f t="shared" si="19"/>
        <v>14.052940000000003</v>
      </c>
    </row>
    <row r="153" spans="1:21" hidden="1">
      <c r="A153" s="25"/>
      <c r="B153" s="26" t="s">
        <v>76</v>
      </c>
      <c r="C153" s="27">
        <f t="shared" ref="C153:R153" si="34">SUM(C12:C151)</f>
        <v>1493.8205998405451</v>
      </c>
      <c r="D153" s="27">
        <f t="shared" si="34"/>
        <v>5418.7021820574364</v>
      </c>
      <c r="E153" s="27">
        <f t="shared" si="34"/>
        <v>21195.910386605748</v>
      </c>
      <c r="F153" s="27">
        <f t="shared" si="34"/>
        <v>553.32486438352123</v>
      </c>
      <c r="G153" s="27">
        <f t="shared" si="34"/>
        <v>6513.8774330467031</v>
      </c>
      <c r="H153" s="27">
        <f t="shared" si="34"/>
        <v>9924.7873386958854</v>
      </c>
      <c r="I153" s="27">
        <f t="shared" si="34"/>
        <v>980.51467733333368</v>
      </c>
      <c r="J153" s="27">
        <f t="shared" si="34"/>
        <v>1027.0880081820656</v>
      </c>
      <c r="K153" s="27">
        <f t="shared" si="34"/>
        <v>12817.36587801514</v>
      </c>
      <c r="L153" s="27">
        <f t="shared" si="34"/>
        <v>7936.1059262505432</v>
      </c>
      <c r="M153" s="27">
        <f t="shared" si="34"/>
        <v>393.06190249536922</v>
      </c>
      <c r="N153" s="27">
        <f t="shared" si="34"/>
        <v>9930.5910909418271</v>
      </c>
      <c r="O153" s="27">
        <f t="shared" si="34"/>
        <v>61898.169813857421</v>
      </c>
      <c r="P153" s="27">
        <f t="shared" si="34"/>
        <v>561.27467453986617</v>
      </c>
      <c r="Q153" s="27">
        <f t="shared" si="34"/>
        <v>14530.422806411723</v>
      </c>
      <c r="R153" s="27">
        <f t="shared" si="34"/>
        <v>200542.69999999995</v>
      </c>
      <c r="S153" s="27">
        <f>Q153/R153</f>
        <v>7.2455506016482901E-2</v>
      </c>
      <c r="T153" s="27">
        <f>Q153/R153</f>
        <v>7.2455506016482901E-2</v>
      </c>
      <c r="U153" s="6">
        <f t="shared" si="19"/>
        <v>8.7671162279944315E-2</v>
      </c>
    </row>
    <row r="154" spans="1:21">
      <c r="G154" s="51"/>
      <c r="H154" s="51"/>
      <c r="T154" s="6"/>
      <c r="U154" s="6"/>
    </row>
    <row r="157" spans="1:21">
      <c r="H157" s="51"/>
      <c r="I157" s="51"/>
    </row>
    <row r="158" spans="1:21">
      <c r="H158" s="51"/>
      <c r="I158" s="51"/>
    </row>
    <row r="159" spans="1:21">
      <c r="H159" s="51"/>
      <c r="I159" s="51"/>
    </row>
    <row r="160" spans="1:21">
      <c r="H160" s="51"/>
      <c r="I160" s="51"/>
    </row>
    <row r="161" spans="8:9">
      <c r="H161" s="51"/>
      <c r="I161" s="51"/>
    </row>
    <row r="162" spans="8:9">
      <c r="H162" s="51"/>
      <c r="I162" s="51"/>
    </row>
    <row r="163" spans="8:9">
      <c r="H163" s="51"/>
      <c r="I163" s="51"/>
    </row>
    <row r="164" spans="8:9">
      <c r="H164" s="51"/>
      <c r="I164" s="51"/>
    </row>
    <row r="165" spans="8:9">
      <c r="H165" s="51"/>
      <c r="I165" s="51"/>
    </row>
    <row r="166" spans="8:9">
      <c r="H166" s="51"/>
      <c r="I166" s="51"/>
    </row>
    <row r="167" spans="8:9">
      <c r="H167" s="51"/>
      <c r="I167" s="51"/>
    </row>
    <row r="168" spans="8:9">
      <c r="H168" s="51"/>
      <c r="I168" s="51"/>
    </row>
    <row r="169" spans="8:9">
      <c r="H169" s="51"/>
      <c r="I169" s="51"/>
    </row>
    <row r="170" spans="8:9">
      <c r="H170" s="51"/>
      <c r="I170" s="51"/>
    </row>
    <row r="171" spans="8:9">
      <c r="H171" s="51"/>
      <c r="I171" s="51"/>
    </row>
    <row r="172" spans="8:9">
      <c r="H172" s="51"/>
      <c r="I172" s="51"/>
    </row>
    <row r="173" spans="8:9">
      <c r="H173" s="51"/>
      <c r="I173" s="51"/>
    </row>
    <row r="174" spans="8:9">
      <c r="H174" s="51"/>
      <c r="I174" s="51"/>
    </row>
    <row r="175" spans="8:9">
      <c r="H175" s="51"/>
      <c r="I175" s="51"/>
    </row>
    <row r="176" spans="8:9">
      <c r="H176" s="51"/>
      <c r="I176" s="51"/>
    </row>
    <row r="177" spans="8:9">
      <c r="H177" s="51"/>
      <c r="I177" s="51"/>
    </row>
    <row r="178" spans="8:9">
      <c r="H178" s="51"/>
      <c r="I178" s="51"/>
    </row>
    <row r="179" spans="8:9">
      <c r="H179" s="51"/>
      <c r="I179" s="51"/>
    </row>
    <row r="180" spans="8:9">
      <c r="H180" s="51"/>
      <c r="I180" s="51"/>
    </row>
    <row r="181" spans="8:9">
      <c r="H181" s="51"/>
      <c r="I181" s="51"/>
    </row>
    <row r="182" spans="8:9">
      <c r="H182" s="51"/>
      <c r="I182" s="51"/>
    </row>
    <row r="183" spans="8:9">
      <c r="H183" s="51"/>
      <c r="I183" s="51"/>
    </row>
    <row r="184" spans="8:9">
      <c r="H184" s="51"/>
      <c r="I184" s="51"/>
    </row>
    <row r="185" spans="8:9">
      <c r="H185" s="51"/>
      <c r="I185" s="51"/>
    </row>
    <row r="186" spans="8:9">
      <c r="H186" s="51"/>
      <c r="I186" s="51"/>
    </row>
    <row r="187" spans="8:9">
      <c r="H187" s="51"/>
      <c r="I187" s="51"/>
    </row>
    <row r="188" spans="8:9">
      <c r="H188" s="51"/>
      <c r="I188" s="51"/>
    </row>
    <row r="189" spans="8:9">
      <c r="H189" s="51"/>
      <c r="I189" s="51"/>
    </row>
    <row r="190" spans="8:9">
      <c r="H190" s="51"/>
      <c r="I190" s="51"/>
    </row>
    <row r="191" spans="8:9">
      <c r="H191" s="51"/>
      <c r="I191" s="51"/>
    </row>
    <row r="192" spans="8:9">
      <c r="H192" s="51"/>
      <c r="I192" s="51"/>
    </row>
    <row r="193" spans="3:9">
      <c r="H193" s="51"/>
      <c r="I193" s="51"/>
    </row>
    <row r="194" spans="3:9">
      <c r="H194" s="51"/>
      <c r="I194" s="51"/>
    </row>
    <row r="195" spans="3:9">
      <c r="H195" s="51"/>
      <c r="I195" s="51"/>
    </row>
    <row r="196" spans="3:9">
      <c r="H196" s="51"/>
      <c r="I196" s="51"/>
    </row>
    <row r="197" spans="3:9">
      <c r="H197" s="51"/>
      <c r="I197" s="51"/>
    </row>
    <row r="198" spans="3:9">
      <c r="H198" s="51"/>
      <c r="I198" s="51"/>
    </row>
    <row r="199" spans="3:9">
      <c r="H199" s="51"/>
      <c r="I199" s="51"/>
    </row>
    <row r="200" spans="3:9">
      <c r="H200" s="51"/>
      <c r="I200" s="51"/>
    </row>
    <row r="201" spans="3:9">
      <c r="H201" s="51"/>
      <c r="I201" s="51"/>
    </row>
    <row r="202" spans="3:9">
      <c r="H202" s="51"/>
      <c r="I202" s="51"/>
    </row>
    <row r="203" spans="3:9">
      <c r="H203" s="51"/>
      <c r="I203" s="51"/>
    </row>
    <row r="204" spans="3:9">
      <c r="H204" s="51"/>
      <c r="I204" s="51"/>
    </row>
    <row r="205" spans="3:9">
      <c r="H205" s="51"/>
      <c r="I205" s="51"/>
    </row>
    <row r="206" spans="3:9">
      <c r="H206" s="51"/>
      <c r="I206" s="51"/>
    </row>
    <row r="207" spans="3:9">
      <c r="C207" s="52"/>
      <c r="D207" s="52"/>
      <c r="E207" s="52"/>
      <c r="F207" s="53"/>
      <c r="G207" s="53"/>
      <c r="H207" s="51"/>
      <c r="I207" s="51"/>
    </row>
    <row r="208" spans="3:9">
      <c r="H208" s="51"/>
      <c r="I208" s="51"/>
    </row>
    <row r="209" spans="8:9">
      <c r="H209" s="51"/>
      <c r="I209" s="51"/>
    </row>
    <row r="210" spans="8:9">
      <c r="H210" s="51"/>
      <c r="I210" s="51"/>
    </row>
    <row r="211" spans="8:9">
      <c r="H211" s="51"/>
      <c r="I211" s="51"/>
    </row>
    <row r="212" spans="8:9">
      <c r="H212" s="51"/>
      <c r="I212" s="51"/>
    </row>
    <row r="213" spans="8:9">
      <c r="H213" s="51"/>
      <c r="I213" s="51"/>
    </row>
    <row r="214" spans="8:9">
      <c r="H214" s="51"/>
      <c r="I214" s="51"/>
    </row>
    <row r="215" spans="8:9">
      <c r="H215" s="51"/>
      <c r="I215" s="51"/>
    </row>
    <row r="216" spans="8:9">
      <c r="H216" s="51"/>
      <c r="I216" s="51"/>
    </row>
    <row r="217" spans="8:9">
      <c r="H217" s="51"/>
      <c r="I217" s="51"/>
    </row>
    <row r="218" spans="8:9">
      <c r="H218" s="51"/>
      <c r="I218" s="51"/>
    </row>
    <row r="219" spans="8:9">
      <c r="H219" s="51"/>
      <c r="I219" s="51"/>
    </row>
    <row r="220" spans="8:9">
      <c r="H220" s="51"/>
      <c r="I220" s="51"/>
    </row>
    <row r="221" spans="8:9">
      <c r="H221" s="51"/>
      <c r="I221" s="51"/>
    </row>
    <row r="222" spans="8:9">
      <c r="H222" s="51"/>
      <c r="I222" s="51"/>
    </row>
    <row r="223" spans="8:9">
      <c r="H223" s="51"/>
      <c r="I223" s="51"/>
    </row>
    <row r="224" spans="8:9">
      <c r="H224" s="51"/>
      <c r="I224" s="51"/>
    </row>
    <row r="225" spans="8:9">
      <c r="H225" s="51"/>
      <c r="I225" s="51"/>
    </row>
    <row r="226" spans="8:9">
      <c r="H226" s="51"/>
      <c r="I226" s="51"/>
    </row>
    <row r="227" spans="8:9">
      <c r="H227" s="51"/>
      <c r="I227" s="51"/>
    </row>
    <row r="228" spans="8:9">
      <c r="H228" s="51"/>
      <c r="I228" s="51"/>
    </row>
    <row r="229" spans="8:9">
      <c r="H229" s="51"/>
      <c r="I229" s="51"/>
    </row>
    <row r="230" spans="8:9">
      <c r="H230" s="51"/>
      <c r="I230" s="51"/>
    </row>
    <row r="231" spans="8:9">
      <c r="H231" s="51"/>
      <c r="I231" s="51"/>
    </row>
    <row r="232" spans="8:9">
      <c r="H232" s="51"/>
      <c r="I232" s="51"/>
    </row>
    <row r="233" spans="8:9">
      <c r="H233" s="51"/>
      <c r="I233" s="51"/>
    </row>
    <row r="234" spans="8:9">
      <c r="H234" s="51"/>
      <c r="I234" s="51"/>
    </row>
    <row r="235" spans="8:9">
      <c r="H235" s="51"/>
      <c r="I235" s="51"/>
    </row>
    <row r="236" spans="8:9">
      <c r="H236" s="51"/>
      <c r="I236" s="51"/>
    </row>
    <row r="237" spans="8:9">
      <c r="H237" s="51"/>
      <c r="I237" s="51"/>
    </row>
    <row r="238" spans="8:9">
      <c r="H238" s="51"/>
      <c r="I238" s="51"/>
    </row>
    <row r="239" spans="8:9">
      <c r="H239" s="51"/>
      <c r="I239" s="51"/>
    </row>
    <row r="240" spans="8:9">
      <c r="H240" s="51"/>
      <c r="I240" s="51"/>
    </row>
    <row r="241" spans="8:9">
      <c r="H241" s="51"/>
      <c r="I241" s="51"/>
    </row>
    <row r="242" spans="8:9">
      <c r="H242" s="51"/>
      <c r="I242" s="51"/>
    </row>
    <row r="243" spans="8:9">
      <c r="H243" s="51"/>
      <c r="I243" s="51"/>
    </row>
    <row r="244" spans="8:9">
      <c r="H244" s="51"/>
      <c r="I244" s="51"/>
    </row>
    <row r="245" spans="8:9">
      <c r="H245" s="51"/>
      <c r="I245" s="51"/>
    </row>
    <row r="246" spans="8:9">
      <c r="H246" s="51"/>
      <c r="I246" s="51"/>
    </row>
    <row r="247" spans="8:9">
      <c r="H247" s="51"/>
      <c r="I247" s="51"/>
    </row>
    <row r="248" spans="8:9">
      <c r="H248" s="51"/>
      <c r="I248" s="51"/>
    </row>
    <row r="249" spans="8:9">
      <c r="H249" s="51"/>
      <c r="I249" s="51"/>
    </row>
    <row r="250" spans="8:9">
      <c r="H250" s="51"/>
      <c r="I250" s="51"/>
    </row>
    <row r="251" spans="8:9">
      <c r="H251" s="51"/>
      <c r="I251" s="51"/>
    </row>
    <row r="252" spans="8:9">
      <c r="H252" s="51"/>
      <c r="I252" s="51"/>
    </row>
    <row r="253" spans="8:9">
      <c r="H253" s="51"/>
      <c r="I253" s="51"/>
    </row>
    <row r="254" spans="8:9">
      <c r="H254" s="51"/>
      <c r="I254" s="51"/>
    </row>
    <row r="255" spans="8:9">
      <c r="H255" s="51"/>
      <c r="I255" s="51"/>
    </row>
    <row r="256" spans="8:9">
      <c r="H256" s="51"/>
      <c r="I256" s="51"/>
    </row>
    <row r="257" spans="8:9">
      <c r="H257" s="51"/>
      <c r="I257" s="51"/>
    </row>
    <row r="258" spans="8:9">
      <c r="H258" s="51"/>
      <c r="I258" s="51"/>
    </row>
    <row r="259" spans="8:9">
      <c r="H259" s="51"/>
      <c r="I259" s="51"/>
    </row>
    <row r="260" spans="8:9">
      <c r="H260" s="51"/>
      <c r="I260" s="51"/>
    </row>
    <row r="261" spans="8:9">
      <c r="H261" s="51"/>
      <c r="I261" s="51"/>
    </row>
    <row r="262" spans="8:9">
      <c r="H262" s="51"/>
      <c r="I262" s="51"/>
    </row>
    <row r="263" spans="8:9">
      <c r="H263" s="51"/>
      <c r="I263" s="51"/>
    </row>
    <row r="264" spans="8:9">
      <c r="H264" s="51"/>
      <c r="I264" s="51"/>
    </row>
    <row r="265" spans="8:9">
      <c r="H265" s="51"/>
      <c r="I265" s="51"/>
    </row>
    <row r="266" spans="8:9">
      <c r="H266" s="51"/>
      <c r="I266" s="51"/>
    </row>
    <row r="267" spans="8:9">
      <c r="H267" s="51"/>
      <c r="I267" s="51"/>
    </row>
    <row r="268" spans="8:9">
      <c r="H268" s="51"/>
      <c r="I268" s="51"/>
    </row>
    <row r="269" spans="8:9">
      <c r="H269" s="51"/>
      <c r="I269" s="51"/>
    </row>
    <row r="270" spans="8:9">
      <c r="H270" s="51"/>
      <c r="I270" s="51"/>
    </row>
    <row r="271" spans="8:9">
      <c r="H271" s="51"/>
      <c r="I271" s="51"/>
    </row>
    <row r="272" spans="8:9">
      <c r="H272" s="51"/>
      <c r="I272" s="51"/>
    </row>
    <row r="273" spans="8:9">
      <c r="H273" s="51"/>
      <c r="I273" s="51"/>
    </row>
    <row r="274" spans="8:9">
      <c r="H274" s="51"/>
      <c r="I274" s="51"/>
    </row>
    <row r="275" spans="8:9">
      <c r="H275" s="51"/>
      <c r="I275" s="51"/>
    </row>
    <row r="276" spans="8:9">
      <c r="H276" s="51"/>
      <c r="I276" s="51"/>
    </row>
    <row r="277" spans="8:9">
      <c r="H277" s="51"/>
      <c r="I277" s="51"/>
    </row>
    <row r="278" spans="8:9">
      <c r="H278" s="51"/>
      <c r="I278" s="51"/>
    </row>
    <row r="279" spans="8:9">
      <c r="H279" s="51"/>
      <c r="I279" s="51"/>
    </row>
    <row r="280" spans="8:9">
      <c r="H280" s="51"/>
      <c r="I280" s="51"/>
    </row>
    <row r="281" spans="8:9">
      <c r="H281" s="51"/>
      <c r="I281" s="51"/>
    </row>
    <row r="282" spans="8:9">
      <c r="H282" s="51"/>
      <c r="I282" s="51"/>
    </row>
    <row r="283" spans="8:9">
      <c r="H283" s="51"/>
      <c r="I283" s="51"/>
    </row>
    <row r="284" spans="8:9">
      <c r="H284" s="51"/>
      <c r="I284" s="51"/>
    </row>
    <row r="285" spans="8:9">
      <c r="H285" s="51"/>
      <c r="I285" s="51"/>
    </row>
    <row r="286" spans="8:9">
      <c r="H286" s="51"/>
      <c r="I286" s="51"/>
    </row>
    <row r="287" spans="8:9">
      <c r="H287" s="51"/>
      <c r="I287" s="51"/>
    </row>
    <row r="288" spans="8:9">
      <c r="H288" s="51"/>
      <c r="I288" s="51"/>
    </row>
    <row r="289" spans="1:44">
      <c r="H289" s="51"/>
      <c r="I289" s="51"/>
    </row>
    <row r="290" spans="1:44">
      <c r="H290" s="51"/>
      <c r="I290" s="51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</row>
    <row r="291" spans="1:44" s="54" customFormat="1">
      <c r="A291" s="2"/>
      <c r="B291"/>
      <c r="C291"/>
      <c r="D291"/>
      <c r="E291"/>
      <c r="F291" s="2"/>
      <c r="G291" s="2"/>
      <c r="H291" s="51"/>
      <c r="I291" s="51"/>
      <c r="J291" s="6"/>
      <c r="T291" s="56"/>
      <c r="U291" s="56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5.75">
      <c r="A292" s="56"/>
      <c r="C292" s="54"/>
      <c r="D292" s="54"/>
      <c r="E292" s="54"/>
      <c r="F292" s="56"/>
      <c r="G292" s="56"/>
      <c r="H292" s="51"/>
      <c r="I292" s="51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</row>
    <row r="293" spans="1:44" s="55" customFormat="1" ht="15.75">
      <c r="A293" s="2"/>
      <c r="B293"/>
      <c r="C293"/>
      <c r="D293"/>
      <c r="E293"/>
      <c r="F293" s="2"/>
      <c r="G293" s="2"/>
      <c r="H293" s="51"/>
      <c r="I293" s="51"/>
      <c r="J293" s="6"/>
      <c r="T293" s="58"/>
      <c r="U293" s="58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5.75">
      <c r="A294" s="58"/>
      <c r="C294" s="55"/>
      <c r="D294" s="55"/>
      <c r="E294" s="55"/>
      <c r="F294" s="58"/>
      <c r="G294" s="58"/>
      <c r="H294" s="51"/>
      <c r="I294" s="51"/>
    </row>
  </sheetData>
  <mergeCells count="9">
    <mergeCell ref="T7:U7"/>
    <mergeCell ref="B7:B8"/>
    <mergeCell ref="A7:A8"/>
    <mergeCell ref="A2:U2"/>
    <mergeCell ref="A3:U3"/>
    <mergeCell ref="C7:F7"/>
    <mergeCell ref="G7:Q7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5 kart.</vt:lpstr>
      <vt:lpstr>3 kart.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2022-11-10T07:29:52Z</dcterms:created>
  <dcterms:modified xsi:type="dcterms:W3CDTF">2023-02-07T12:48:01Z</dcterms:modified>
</cp:coreProperties>
</file>